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ADMIN\ADMJEAN\StrongPorts program\Port Finance Toolkit\"/>
    </mc:Choice>
  </mc:AlternateContent>
  <bookViews>
    <workbookView xWindow="0" yWindow="0" windowWidth="15360" windowHeight="8724" tabRatio="717" firstSheet="4"/>
  </bookViews>
  <sheets>
    <sheet name="Instructions" sheetId="30" r:id="rId1"/>
    <sheet name="I. Assumptions" sheetId="29" r:id="rId2"/>
    <sheet name="II. S&amp;U" sheetId="14" r:id="rId3"/>
    <sheet name="III. CF - Concessionaire" sheetId="9" r:id="rId4"/>
    <sheet name="IV. CF - Public Entity" sheetId="19" r:id="rId5"/>
    <sheet name="V. Debt Cvrg - Concessionaire" sheetId="6" r:id="rId6"/>
    <sheet name="VI. Debt Cvrg - Public Entity" sheetId="20" r:id="rId7"/>
    <sheet name="VII. Tax" sheetId="13" r:id="rId8"/>
    <sheet name="VIII. Depreciation" sheetId="12" r:id="rId9"/>
    <sheet name="Data Input" sheetId="11" r:id="rId10"/>
  </sheets>
  <externalReferences>
    <externalReference r:id="rId11"/>
    <externalReference r:id="rId12"/>
    <externalReference r:id="rId13"/>
    <externalReference r:id="rId14"/>
  </externalReferences>
  <definedNames>
    <definedName name="\0">#REF!</definedName>
    <definedName name="___dot196">#REF!</definedName>
    <definedName name="__car171">#REF!</definedName>
    <definedName name="__car172">#REF!</definedName>
    <definedName name="__car173">#REF!</definedName>
    <definedName name="__car175">#REF!</definedName>
    <definedName name="__car176">#REF!</definedName>
    <definedName name="__car177">#REF!</definedName>
    <definedName name="__car178">#REF!</definedName>
    <definedName name="__car182">#REF!</definedName>
    <definedName name="__car185">#REF!</definedName>
    <definedName name="__car186">#REF!</definedName>
    <definedName name="__car189">#REF!</definedName>
    <definedName name="__car190">#REF!</definedName>
    <definedName name="__CAR192">#REF!</definedName>
    <definedName name="__car193">#REF!</definedName>
    <definedName name="__car194">#REF!</definedName>
    <definedName name="__car195">#REF!</definedName>
    <definedName name="__car196">#REF!</definedName>
    <definedName name="__car197">#REF!</definedName>
    <definedName name="__dot171">#REF!</definedName>
    <definedName name="__dot172">#REF!</definedName>
    <definedName name="__dot173">#REF!</definedName>
    <definedName name="__dot175">#REF!</definedName>
    <definedName name="__dot176">#REF!</definedName>
    <definedName name="__dot177">#REF!</definedName>
    <definedName name="__dot178">#REF!</definedName>
    <definedName name="__dot182">#REF!</definedName>
    <definedName name="__dot185">#REF!</definedName>
    <definedName name="__dot186">#REF!</definedName>
    <definedName name="__dot189">#REF!</definedName>
    <definedName name="__dot190">#REF!</definedName>
    <definedName name="__dot192">#REF!</definedName>
    <definedName name="__dot194">#REF!</definedName>
    <definedName name="__dot195">#REF!</definedName>
    <definedName name="__dot197">#REF!</definedName>
    <definedName name="__IS1" hidden="1">{"WorkshopIncStmt1",#N/A,FALSE,"Inc Stmt with Admin and NonOp"}</definedName>
    <definedName name="__ot171">#REF!</definedName>
    <definedName name="__ot172">#REF!</definedName>
    <definedName name="__ot173">#REF!</definedName>
    <definedName name="__ot175">#REF!</definedName>
    <definedName name="__ot176">#REF!</definedName>
    <definedName name="__ot177">#REF!</definedName>
    <definedName name="__ot178">#REF!</definedName>
    <definedName name="__ot182">#REF!</definedName>
    <definedName name="__ot185">#REF!</definedName>
    <definedName name="__ot186">#REF!</definedName>
    <definedName name="__ot189">#REF!</definedName>
    <definedName name="__ot190">#REF!</definedName>
    <definedName name="__ot192">#REF!</definedName>
    <definedName name="__ot193">#REF!</definedName>
    <definedName name="__ot194">#REF!</definedName>
    <definedName name="__ot195">#REF!</definedName>
    <definedName name="__ot196">#REF!</definedName>
    <definedName name="__ot197">#REF!</definedName>
    <definedName name="__PR1" hidden="1">{"'TextofAccounts'!$A$1:$B$180"}</definedName>
    <definedName name="__pt171">#REF!</definedName>
    <definedName name="__pt172">#REF!</definedName>
    <definedName name="__pt173">#REF!</definedName>
    <definedName name="__pt175">#REF!</definedName>
    <definedName name="__pt176">#REF!</definedName>
    <definedName name="__pt177">#REF!</definedName>
    <definedName name="__pt178">#REF!</definedName>
    <definedName name="__pt182">#REF!</definedName>
    <definedName name="__pt185">#REF!</definedName>
    <definedName name="__pt186">#REF!</definedName>
    <definedName name="__pt189">#REF!</definedName>
    <definedName name="__pt190">#REF!</definedName>
    <definedName name="__pt192">#REF!</definedName>
    <definedName name="__pt193">#REF!</definedName>
    <definedName name="__pt194">#REF!</definedName>
    <definedName name="__pt195">#REF!</definedName>
    <definedName name="__pt196">#REF!</definedName>
    <definedName name="__pt197">#REF!</definedName>
    <definedName name="__SUM159">#REF!</definedName>
    <definedName name="_car171">#REF!</definedName>
    <definedName name="_car172">#REF!</definedName>
    <definedName name="_car173">#REF!</definedName>
    <definedName name="_car175">#REF!</definedName>
    <definedName name="_car176">#REF!</definedName>
    <definedName name="_car177">#REF!</definedName>
    <definedName name="_car178">#REF!</definedName>
    <definedName name="_car182">#REF!</definedName>
    <definedName name="_car185">#REF!</definedName>
    <definedName name="_car186">#REF!</definedName>
    <definedName name="_car189">#REF!</definedName>
    <definedName name="_car190">#REF!</definedName>
    <definedName name="_CAR192">#REF!</definedName>
    <definedName name="_car193">#REF!</definedName>
    <definedName name="_car194">#REF!</definedName>
    <definedName name="_car195">#REF!</definedName>
    <definedName name="_car196">#REF!</definedName>
    <definedName name="_car197">#REF!</definedName>
    <definedName name="_dot171">#REF!</definedName>
    <definedName name="_dot172">#REF!</definedName>
    <definedName name="_dot173">#REF!</definedName>
    <definedName name="_dot175">#REF!</definedName>
    <definedName name="_dot176">#REF!</definedName>
    <definedName name="_dot177">#REF!</definedName>
    <definedName name="_dot178">#REF!</definedName>
    <definedName name="_dot182">#REF!</definedName>
    <definedName name="_dot185">#REF!</definedName>
    <definedName name="_dot186">#REF!</definedName>
    <definedName name="_dot189">#REF!</definedName>
    <definedName name="_dot190">#REF!</definedName>
    <definedName name="_dot192">#REF!</definedName>
    <definedName name="_dot194">#REF!</definedName>
    <definedName name="_dot195">#REF!</definedName>
    <definedName name="_dot196">#REF!</definedName>
    <definedName name="_dot197">#REF!</definedName>
    <definedName name="_IS1" hidden="1">{"WorkshopIncStmt1",#N/A,FALSE,"Inc Stmt with Admin and NonOp"}</definedName>
    <definedName name="_Order1" hidden="1">255</definedName>
    <definedName name="_Order2" hidden="1">0</definedName>
    <definedName name="_ot171">#REF!</definedName>
    <definedName name="_ot172">#REF!</definedName>
    <definedName name="_ot173">#REF!</definedName>
    <definedName name="_ot175">#REF!</definedName>
    <definedName name="_ot176">#REF!</definedName>
    <definedName name="_ot177">#REF!</definedName>
    <definedName name="_ot178">#REF!</definedName>
    <definedName name="_ot182">#REF!</definedName>
    <definedName name="_ot185">#REF!</definedName>
    <definedName name="_ot186">#REF!</definedName>
    <definedName name="_ot189">#REF!</definedName>
    <definedName name="_ot190">#REF!</definedName>
    <definedName name="_ot192">#REF!</definedName>
    <definedName name="_ot193">#REF!</definedName>
    <definedName name="_ot194">#REF!</definedName>
    <definedName name="_ot195">#REF!</definedName>
    <definedName name="_ot196">#REF!</definedName>
    <definedName name="_ot197">#REF!</definedName>
    <definedName name="_PR1" hidden="1">{"'TextofAccounts'!$A$1:$B$180"}</definedName>
    <definedName name="_pt171">#REF!</definedName>
    <definedName name="_pt172">#REF!</definedName>
    <definedName name="_pt173">#REF!</definedName>
    <definedName name="_pt175">#REF!</definedName>
    <definedName name="_pt176">#REF!</definedName>
    <definedName name="_pt177">#REF!</definedName>
    <definedName name="_pt178">#REF!</definedName>
    <definedName name="_pt182">#REF!</definedName>
    <definedName name="_pt185">#REF!</definedName>
    <definedName name="_pt186">#REF!</definedName>
    <definedName name="_pt189">#REF!</definedName>
    <definedName name="_pt190">#REF!</definedName>
    <definedName name="_pt192">#REF!</definedName>
    <definedName name="_pt193">#REF!</definedName>
    <definedName name="_pt194">#REF!</definedName>
    <definedName name="_pt195">#REF!</definedName>
    <definedName name="_pt196">#REF!</definedName>
    <definedName name="_pt197">#REF!</definedName>
    <definedName name="_st_Citizens_Payment">#REF!</definedName>
    <definedName name="_SUM159">#REF!</definedName>
    <definedName name="AccessDatabase" hidden="1">"H:\FINANCE\Budget 2001-02\Database\GL info.mdb"</definedName>
    <definedName name="ADD_SAL_AND_BEN">#REF!</definedName>
    <definedName name="AdminAlloc">#REF!</definedName>
    <definedName name="Advertising">#REF!</definedName>
    <definedName name="AS2DocOpenMode" hidden="1">"AS2DocumentBrowse"</definedName>
    <definedName name="Audit">#REF!</definedName>
    <definedName name="AviationIT">#REF!</definedName>
    <definedName name="AviationRisk">#REF!</definedName>
    <definedName name="BL_DS_Table">'[1]NCSPA Long-Term Financing'!$C$245:$AG$258</definedName>
    <definedName name="BooksPubSubscrip">#REF!</definedName>
    <definedName name="BrdTravelPerDiem">#REF!</definedName>
    <definedName name="budget02">#REF!</definedName>
    <definedName name="bus_inc_2003">#REF!</definedName>
    <definedName name="bus_inc_2004">#REF!</definedName>
    <definedName name="bus_inc_2005">#REF!</definedName>
    <definedName name="bus_inc_2006">#REF!</definedName>
    <definedName name="bus_inc_2007">#REF!</definedName>
    <definedName name="bus_inc_2008">#REF!</definedName>
    <definedName name="BusPromotion">#REF!</definedName>
    <definedName name="BusTrainingTravel">#REF!</definedName>
    <definedName name="BusTravelPerDiem">#REF!</definedName>
    <definedName name="Button_1">"MARHISTPT"</definedName>
    <definedName name="CarAllowance">#REF!</definedName>
    <definedName name="carpr">#REF!</definedName>
    <definedName name="Claims">#REF!</definedName>
    <definedName name="ComputerOLServ">#REF!</definedName>
    <definedName name="constantb_1">'[2]Bus Acquisition'!$AQ$67</definedName>
    <definedName name="constantb_10">'[2]Bus Acquisition'!$DB$67</definedName>
    <definedName name="constantb_11">'[2]Bus Acquisition'!$DI$67</definedName>
    <definedName name="constantb_12">'[2]Bus Acquisition'!$DP$67</definedName>
    <definedName name="constantb_13">'[2]Bus Acquisition'!$DW$67</definedName>
    <definedName name="constantb_14">'[2]Bus Acquisition'!$ED$67</definedName>
    <definedName name="constantb_15">'[2]Bus Acquisition'!$EK$67</definedName>
    <definedName name="constantb_16">'[2]Bus Acquisition'!$ER$67</definedName>
    <definedName name="constantb_17">'[2]Bus Acquisition'!$EY$67</definedName>
    <definedName name="constantb_18">'[2]Bus Acquisition'!$FF$67</definedName>
    <definedName name="constantb_19">'[2]Bus Acquisition'!$FM$67</definedName>
    <definedName name="constantb_2">'[2]Bus Acquisition'!$AX$67</definedName>
    <definedName name="constantb_20">'[2]Bus Acquisition'!$FT$67</definedName>
    <definedName name="constantb_21">'[2]Bus Acquisition'!$GA$67</definedName>
    <definedName name="constantb_22">'[2]Bus Acquisition'!$GH$67</definedName>
    <definedName name="constantb_23">'[2]Bus Acquisition'!$GO$67</definedName>
    <definedName name="constantb_24">'[2]Bus Acquisition'!$GV$67</definedName>
    <definedName name="constantb_25">'[2]Bus Acquisition'!$HC$67</definedName>
    <definedName name="constantb_26">'[2]Bus Acquisition'!$HJ$67</definedName>
    <definedName name="constantb_27">'[2]Bus Acquisition'!$HQ$67</definedName>
    <definedName name="constantb_28">'[2]Bus Acquisition'!$HX$67</definedName>
    <definedName name="constantb_29">'[2]Bus Acquisition'!$IE$67</definedName>
    <definedName name="constantb_3">'[2]Bus Acquisition'!$BE$67</definedName>
    <definedName name="constantb_30">'[2]Bus Acquisition'!$IL$67</definedName>
    <definedName name="constantb_31">'[2]Bus Acquisition'!$IS$67</definedName>
    <definedName name="constantb_4">'[2]Bus Acquisition'!$BL$67</definedName>
    <definedName name="constantb_5">'[2]Bus Acquisition'!$BS$67</definedName>
    <definedName name="constantb_6">'[2]Bus Acquisition'!$BZ$67</definedName>
    <definedName name="constantb_7">'[2]Bus Acquisition'!$CG$67</definedName>
    <definedName name="constantb_8">'[2]Bus Acquisition'!$CN$67</definedName>
    <definedName name="constantb_9">'[2]Bus Acquisition'!$CU$67</definedName>
    <definedName name="Consultant">#REF!</definedName>
    <definedName name="conversion_date">#REF!</definedName>
    <definedName name="CP_DS_Table">'[1]NCSPA Long-Term Financing'!$C$298:$AG$311</definedName>
    <definedName name="dated">#REF!</definedName>
    <definedName name="db">#REF!</definedName>
    <definedName name="DeferredComp">#REF!</definedName>
    <definedName name="delivery">#REF!</definedName>
    <definedName name="divb_inc_2007">'[2]Incmtl Bus Service'!#REF!</definedName>
    <definedName name="divb_inc_2008">'[2]Incmtl Bus Service'!#REF!</definedName>
    <definedName name="DOT">'[3]160 LD'!#REF!</definedName>
    <definedName name="dotpr">#REF!</definedName>
    <definedName name="DoubleOT">#REF!</definedName>
    <definedName name="Dredging">#REF!</definedName>
    <definedName name="DuesMemberships">#REF!</definedName>
    <definedName name="Education">#REF!</definedName>
    <definedName name="education171">#REF!</definedName>
    <definedName name="education172">#REF!</definedName>
    <definedName name="education173">#REF!</definedName>
    <definedName name="education175">#REF!</definedName>
    <definedName name="education176">#REF!</definedName>
    <definedName name="education177">#REF!</definedName>
    <definedName name="education178">#REF!</definedName>
    <definedName name="education182">#REF!</definedName>
    <definedName name="education185">#REF!</definedName>
    <definedName name="education186">#REF!</definedName>
    <definedName name="education189">#REF!</definedName>
    <definedName name="education190">#REF!</definedName>
    <definedName name="EDUCATION192">#REF!</definedName>
    <definedName name="education193">#REF!</definedName>
    <definedName name="education194">#REF!</definedName>
    <definedName name="education195">#REF!</definedName>
    <definedName name="education196">#REF!</definedName>
    <definedName name="education197">#REF!</definedName>
    <definedName name="educationpr">#REF!</definedName>
    <definedName name="Electric">#REF!</definedName>
    <definedName name="EmpPhysEAP">#REF!</definedName>
    <definedName name="EquipRentLease">#REF!</definedName>
    <definedName name="EquipRepMaint">#REF!</definedName>
    <definedName name="Escalation">#REF!</definedName>
    <definedName name="Excel_BuiltIn_Print_Area_1">#REF!</definedName>
    <definedName name="Exist_DS">#REF!</definedName>
    <definedName name="Existing_Junior">'[1]Existing DS_1'!$D$86:$AQ$87</definedName>
    <definedName name="Existing_Senior">'[1]Existing DS_1'!$D$1:$AN$16</definedName>
    <definedName name="FacRepairMaint">#REF!</definedName>
    <definedName name="FICATaxes">#REF!</definedName>
    <definedName name="fiint">#REF!</definedName>
    <definedName name="GasOilGrease">#REF!</definedName>
    <definedName name="GeneralLiability">#REF!</definedName>
    <definedName name="goodwin">#REF!</definedName>
    <definedName name="h" hidden="1">{"'TextofAccounts'!$A$1:$B$180"}</definedName>
    <definedName name="Hospitilization">#REF!</definedName>
    <definedName name="html" hidden="1">{"'TextofAccounts'!$A$1:$B$180"}</definedName>
    <definedName name="HTML_CodePage" hidden="1">1252</definedName>
    <definedName name="HTML_Control" hidden="1">{"'TextofAccounts'!$A$1:$B$180"}</definedName>
    <definedName name="HTML_Control1" hidden="1">{"'TextofAccounts'!$A$1:$B$180"}</definedName>
    <definedName name="HTML_CONTROL1150" hidden="1">{"'TextofAccounts'!$A$1:$B$180"}</definedName>
    <definedName name="HTML_Control1172" hidden="1">{"'TextofAccounts'!$A$1:$B$180"}</definedName>
    <definedName name="HTML_Control1173" hidden="1">{"'TextofAccounts'!$A$1:$B$180"}</definedName>
    <definedName name="HTML_Control1175" hidden="1">{"'TextofAccounts'!$A$1:$B$180"}</definedName>
    <definedName name="HTML_Control1176" hidden="1">{"'TextofAccounts'!$A$1:$B$180"}</definedName>
    <definedName name="HTML_Control1177" hidden="1">{"'TextofAccounts'!$A$1:$B$180"}</definedName>
    <definedName name="HTML_Control1178" hidden="1">{"'TextofAccounts'!$A$1:$B$180"}</definedName>
    <definedName name="HTML_Control1182" hidden="1">{"'TextofAccounts'!$A$1:$B$180"}</definedName>
    <definedName name="HTML_Control1185" hidden="1">{"'TextofAccounts'!$A$1:$B$180"}</definedName>
    <definedName name="HTML_Control1186" hidden="1">{"'TextofAccounts'!$A$1:$B$180"}</definedName>
    <definedName name="HTML_Control1189" hidden="1">{"'TextofAccounts'!$A$1:$B$180"}</definedName>
    <definedName name="HTML_Control1190" hidden="1">{"'TextofAccounts'!$A$1:$B$180"}</definedName>
    <definedName name="HTML_Control1192" hidden="1">{"'TextofAccounts'!$A$1:$B$180"}</definedName>
    <definedName name="HTML_Control1193" hidden="1">{"'TextofAccounts'!$A$1:$B$180"}</definedName>
    <definedName name="HTML_Control1194" hidden="1">{"'TextofAccounts'!$A$1:$B$180"}</definedName>
    <definedName name="HTML_Control1195" hidden="1">{"'TextofAccounts'!$A$1:$B$180"}</definedName>
    <definedName name="HTML_Control1196" hidden="1">{"'TextofAccounts'!$A$1:$B$180"}</definedName>
    <definedName name="HTML_Control1197" hidden="1">{"'TextofAccounts'!$A$1:$B$180"}</definedName>
    <definedName name="HTML_CONTROL150" hidden="1">{"'TextofAccounts'!$A$1:$B$180"}</definedName>
    <definedName name="HTML_Control171" hidden="1">{"'TextofAccounts'!$A$1:$B$180"}</definedName>
    <definedName name="HTML_Control173" hidden="1">{"'TextofAccounts'!$A$1:$B$180"}</definedName>
    <definedName name="HTML_Control175" hidden="1">{"'TextofAccounts'!$A$1:$B$180"}</definedName>
    <definedName name="HTML_Control176" hidden="1">{"'TextofAccounts'!$A$1:$B$180"}</definedName>
    <definedName name="HTML_Control177" hidden="1">{"'TextofAccounts'!$A$1:$B$180"}</definedName>
    <definedName name="HTML_Control178" hidden="1">{"'TextofAccounts'!$A$1:$B$180"}</definedName>
    <definedName name="HTML_Control182" hidden="1">{"'TextofAccounts'!$A$1:$B$180"}</definedName>
    <definedName name="HTML_Control185" hidden="1">{"'TextofAccounts'!$A$1:$B$180"}</definedName>
    <definedName name="HTML_Control186" hidden="1">{"'TextofAccounts'!$A$1:$B$180"}</definedName>
    <definedName name="HTML_Control189" hidden="1">{"'TextofAccounts'!$A$1:$B$180"}</definedName>
    <definedName name="HTML_Control190" hidden="1">{"'TextofAccounts'!$A$1:$B$180"}</definedName>
    <definedName name="HTML_Control192" hidden="1">{"'TextofAccounts'!$A$1:$B$180"}</definedName>
    <definedName name="HTML_Control193" hidden="1">{"'TextofAccounts'!$A$1:$B$180"}</definedName>
    <definedName name="HTML_Control194" hidden="1">{"'TextofAccounts'!$A$1:$B$180"}</definedName>
    <definedName name="HTML_Control195" hidden="1">{"'TextofAccounts'!$A$1:$B$180"}</definedName>
    <definedName name="HTML_Control196" hidden="1">{"'TextofAccounts'!$A$1:$B$180"}</definedName>
    <definedName name="HTML_Control197" hidden="1">{"'TextofAccounts'!$A$1:$B$180"}</definedName>
    <definedName name="HTML_Control1avrev" hidden="1">{"'TextofAccounts'!$A$1:$B$180"}</definedName>
    <definedName name="HTML_Control1biru" hidden="1">{"'TextofAccounts'!$A$1:$B$180"}</definedName>
    <definedName name="HTML_Control1GARU" hidden="1">{"'TextofAccounts'!$A$1:$B$180"}</definedName>
    <definedName name="HTML_Control1marine" hidden="1">{"'TextofAccounts'!$A$1:$B$180"}</definedName>
    <definedName name="HTML_Control1rev" hidden="1">{"'TextofAccounts'!$A$1:$B$180"}</definedName>
    <definedName name="HTML_Control1revsum" hidden="1">{"'TextofAccounts'!$A$1:$B$180"}</definedName>
    <definedName name="HTML_Control2" hidden="1">{"'TextofAccounts'!$A$1:$B$180"}</definedName>
    <definedName name="HTML_Control2marine" hidden="1">{"'TextofAccounts'!$A$1:$B$180"}</definedName>
    <definedName name="HTML_Controlavrev" hidden="1">{"'TextofAccounts'!$A$1:$B$180"}</definedName>
    <definedName name="HTML_Controlbiru" hidden="1">{"'TextofAccounts'!$A$1:$B$180"}</definedName>
    <definedName name="HTML_ControlGARU" hidden="1">{"'TextofAccounts'!$A$1:$B$180"}</definedName>
    <definedName name="HTML_Controlmarine" hidden="1">{"'TextofAccounts'!$A$1:$B$180"}</definedName>
    <definedName name="HTML_Controlrev" hidden="1">{"'TextofAccounts'!$A$1:$B$180"}</definedName>
    <definedName name="HTML_Controlrevsum" hidden="1">{"'TextofAccounts'!$A$1:$B$180"}</definedName>
    <definedName name="HTML_Description" hidden="1">""</definedName>
    <definedName name="HTML_Email" hidden="1">""</definedName>
    <definedName name="HTML_Header" hidden="1">""</definedName>
    <definedName name="HTML_LastUpdate" hidden="1">"3/5/01"</definedName>
    <definedName name="HTML_LineAfter" hidden="1">FALSE</definedName>
    <definedName name="HTML_LineBefore" hidden="1">FALSE</definedName>
    <definedName name="HTML_Name" hidden="1">"Valerie Pittman"</definedName>
    <definedName name="HTML_OBDlg2" hidden="1">TRUE</definedName>
    <definedName name="HTML_OBDlg4" hidden="1">TRUE</definedName>
    <definedName name="HTML_OS" hidden="1">0</definedName>
    <definedName name="HTML_PathFile" hidden="1">"H:\FINANCE\Budget 2001-02\General\Text of Accounts.htm"</definedName>
    <definedName name="HTML_Title" hidden="1">"Text of Accounts"</definedName>
    <definedName name="html10" hidden="1">{"'TextofAccounts'!$A$1:$B$180"}</definedName>
    <definedName name="html11" hidden="1">{"'TextofAccounts'!$A$1:$B$180"}</definedName>
    <definedName name="html1138" hidden="1">{"'TextofAccounts'!$A$1:$B$180"}</definedName>
    <definedName name="HTML1139" hidden="1">{"'TextofAccounts'!$A$1:$B$180"}</definedName>
    <definedName name="html12" hidden="1">{"'TextofAccounts'!$A$1:$B$180"}</definedName>
    <definedName name="html13" hidden="1">{"'TextofAccounts'!$A$1:$B$180"}</definedName>
    <definedName name="HTML135" hidden="1">{"'TextofAccounts'!$A$1:$B$180"}</definedName>
    <definedName name="HTML137" hidden="1">{"'TextofAccounts'!$A$1:$B$180"}</definedName>
    <definedName name="HTML1372" hidden="1">{"'TextofAccounts'!$A$1:$B$180"}</definedName>
    <definedName name="html138" hidden="1">{"'TextofAccounts'!$A$1:$B$180"}</definedName>
    <definedName name="HTML139" hidden="1">{"'TextofAccounts'!$A$1:$B$180"}</definedName>
    <definedName name="HTML150" hidden="1">{"'TextofAccounts'!$A$1:$B$180"}</definedName>
    <definedName name="HTML159" hidden="1">{"'TextofAccounts'!$A$1:$B$180"}</definedName>
    <definedName name="HTML160" hidden="1">{"'TextofAccounts'!$A$1:$B$180"}</definedName>
    <definedName name="HTML162" hidden="1">{"'TextofAccounts'!$A$1:$B$180"}</definedName>
    <definedName name="html189" hidden="1">{"'TextofAccounts'!$A$1:$B$180"}</definedName>
    <definedName name="html190" hidden="1">{"'TextofAccounts'!$A$1:$B$180"}</definedName>
    <definedName name="html192" hidden="1">{"'TextofAccounts'!$A$1:$B$180"}</definedName>
    <definedName name="html193" hidden="1">{"'TextofAccounts'!$A$1:$B$180"}</definedName>
    <definedName name="html194" hidden="1">{"'TextofAccounts'!$A$1:$B$180"}</definedName>
    <definedName name="html195" hidden="1">{"'TextofAccounts'!$A$1:$B$180"}</definedName>
    <definedName name="html196" hidden="1">{"'TextofAccounts'!$A$1:$B$180"}</definedName>
    <definedName name="html197" hidden="1">{"'TextofAccounts'!$A$1:$B$180"}</definedName>
    <definedName name="HTML2" hidden="1">{"'TextofAccounts'!$A$1:$B$180"}</definedName>
    <definedName name="HTML2135" hidden="1">{"'TextofAccounts'!$A$1:$B$180"}</definedName>
    <definedName name="HTML2160" hidden="1">{"'TextofAccounts'!$A$1:$B$180"}</definedName>
    <definedName name="HTML2162" hidden="1">{"'TextofAccounts'!$A$1:$B$180"}</definedName>
    <definedName name="HTML25" hidden="1">{"'TextofAccounts'!$A$1:$B$180"}</definedName>
    <definedName name="HTML3" hidden="1">{"'TextofAccounts'!$A$1:$B$180"}</definedName>
    <definedName name="html4" hidden="1">{"'TextofAccounts'!$A$1:$B$180"}</definedName>
    <definedName name="html5" hidden="1">{"'TextofAccounts'!$A$1:$B$180"}</definedName>
    <definedName name="html6" hidden="1">{"'TextofAccounts'!$A$1:$B$180"}</definedName>
    <definedName name="html7" hidden="1">{"'TextofAccounts'!$A$1:$B$180"}</definedName>
    <definedName name="html8" hidden="1">{"'TextofAccounts'!$A$1:$B$180"}</definedName>
    <definedName name="html9" hidden="1">{"'TextofAccounts'!$A$1:$B$180"}</definedName>
    <definedName name="htmlacct" hidden="1">{"'TextofAccounts'!$A$1:$B$180"}</definedName>
    <definedName name="htmlcontrol1134" hidden="1">{"'TextofAccounts'!$A$1:$B$180"}</definedName>
    <definedName name="htmlcontrol1136" hidden="1">{"'TextofAccounts'!$A$1:$B$180"}</definedName>
    <definedName name="htmlcontrol134" hidden="1">{"'TextofAccounts'!$A$1:$B$180"}</definedName>
    <definedName name="htmlcontrol136" hidden="1">{"'TextofAccounts'!$A$1:$B$180"}</definedName>
    <definedName name="JanitorialServ">#REF!</definedName>
    <definedName name="JR_DS_Table">'[1]NCSPA Long-Term Financing'!$C$363:$BD$402</definedName>
    <definedName name="Junior_DSCR">'[1]Coverage &amp; Capacity'!$G$1</definedName>
    <definedName name="Ken">#REF!</definedName>
    <definedName name="LandscapeServ">#REF!</definedName>
    <definedName name="LeaseOffice">#REF!</definedName>
    <definedName name="Legal">#REF!</definedName>
    <definedName name="LegalNoticesAdv">#REF!</definedName>
    <definedName name="Less_Additional_S_B_Request">#REF!</definedName>
    <definedName name="Less_Addtnl_S_B_Requested">#REF!</definedName>
    <definedName name="LifeIns">#REF!</definedName>
    <definedName name="LineDetail">#REF!</definedName>
    <definedName name="LTDisability">#REF!</definedName>
    <definedName name="maint_RR">[4]IncStmt!$T$11</definedName>
    <definedName name="MaintProjects">#REF!</definedName>
    <definedName name="MARHISTPT">#REF!</definedName>
    <definedName name="MarketingAgency">#REF!</definedName>
    <definedName name="mcgaha">#REF!</definedName>
    <definedName name="name">#REF!</definedName>
    <definedName name="None" hidden="1">{"'TextofAccounts'!$A$1:$B$180"}</definedName>
    <definedName name="None2" hidden="1">{"'TextofAccounts'!$A$1:$B$180"}</definedName>
    <definedName name="None2avrev" hidden="1">{"'TextofAccounts'!$A$1:$B$180"}</definedName>
    <definedName name="None2Rev" hidden="1">{"'TextofAccounts'!$A$1:$B$180"}</definedName>
    <definedName name="None3" hidden="1">{"'TextofAccounts'!$A$1:$B$180"}</definedName>
    <definedName name="None3avrev" hidden="1">{"'TextofAccounts'!$A$1:$B$180"}</definedName>
    <definedName name="None3Rev" hidden="1">{"'TextofAccounts'!$A$1:$B$180"}</definedName>
    <definedName name="Noneavrev" hidden="1">{"'TextofAccounts'!$A$1:$B$180"}</definedName>
    <definedName name="NoneRev" hidden="1">{"'TextofAccounts'!$A$1:$B$180"}</definedName>
    <definedName name="Obj">#REF!</definedName>
    <definedName name="OfficeSupplies">#REF!</definedName>
    <definedName name="OperatingSupplies">#REF!</definedName>
    <definedName name="Other">#REF!</definedName>
    <definedName name="OTHER_EXPENSE_TOTAL">#REF!</definedName>
    <definedName name="other171">#REF!</definedName>
    <definedName name="other172">#REF!</definedName>
    <definedName name="other173">#REF!</definedName>
    <definedName name="other175">#REF!</definedName>
    <definedName name="other176">#REF!</definedName>
    <definedName name="other177">#REF!</definedName>
    <definedName name="other178">#REF!</definedName>
    <definedName name="other182">#REF!</definedName>
    <definedName name="other185">#REF!</definedName>
    <definedName name="other186">#REF!</definedName>
    <definedName name="other189">#REF!</definedName>
    <definedName name="other190">#REF!</definedName>
    <definedName name="OTHER192">#REF!</definedName>
    <definedName name="other193">#REF!</definedName>
    <definedName name="other194">#REF!</definedName>
    <definedName name="other195">#REF!</definedName>
    <definedName name="other196">#REF!</definedName>
    <definedName name="other197">#REF!</definedName>
    <definedName name="OtherBenefits">#REF!</definedName>
    <definedName name="OtherContServ">#REF!</definedName>
    <definedName name="OtherInsBonds">#REF!</definedName>
    <definedName name="otherpr">#REF!</definedName>
    <definedName name="OtherUtilities">#REF!</definedName>
    <definedName name="otpr">#REF!</definedName>
    <definedName name="OvertimePay">#REF!</definedName>
    <definedName name="par_2003">'[1]NCSPA Long-Term Financing'!$AP$673</definedName>
    <definedName name="par_2004">'[1]NCSPA Long-Term Financing'!$AW$673</definedName>
    <definedName name="par_2005">'[1]NCSPA Long-Term Financing'!$BD$673</definedName>
    <definedName name="par_2006">'[1]NCSPA Long-Term Financing'!$BK$673</definedName>
    <definedName name="par_2007">'[1]NCSPA Long-Term Financing'!$BR$673</definedName>
    <definedName name="par_2008">'[1]NCSPA Long-Term Financing'!$BY$673</definedName>
    <definedName name="par_2009">'[1]NCSPA Long-Term Financing'!$CF$673</definedName>
    <definedName name="par_2010">'[1]NCSPA Long-Term Financing'!$CM$673</definedName>
    <definedName name="par_2011">'[1]NCSPA Long-Term Financing'!$CT$673</definedName>
    <definedName name="par_2012">'[1]NCSPA Long-Term Financing'!$DA$673</definedName>
    <definedName name="par_2013">'[1]NCSPA Long-Term Financing'!$DH$673</definedName>
    <definedName name="par_2014">'[1]NCSPA Long-Term Financing'!$DO$673</definedName>
    <definedName name="par_2015">'[1]NCSPA Long-Term Financing'!$DV$673</definedName>
    <definedName name="par_2016">'[1]NCSPA Long-Term Financing'!$EC$673</definedName>
    <definedName name="par_2017">'[1]NCSPA Long-Term Financing'!$EJ$673</definedName>
    <definedName name="par_2018">'[1]NCSPA Long-Term Financing'!$EQ$673</definedName>
    <definedName name="par_2019">'[1]NCSPA Long-Term Financing'!$EX$673</definedName>
    <definedName name="par_2020">'[1]NCSPA Long-Term Financing'!$FE$673</definedName>
    <definedName name="par_2021">'[1]NCSPA Long-Term Financing'!$FL$673</definedName>
    <definedName name="par_2022">'[1]NCSPA Long-Term Financing'!$FS$673</definedName>
    <definedName name="par_2023">'[1]NCSPA Long-Term Financing'!$FZ$673</definedName>
    <definedName name="par_2024">'[1]NCSPA Long-Term Financing'!$GG$673</definedName>
    <definedName name="par_2025">'[1]NCSPA Long-Term Financing'!$GN$673</definedName>
    <definedName name="par_2026">'[1]NCSPA Long-Term Financing'!$GU$673</definedName>
    <definedName name="par_2027">'[1]NCSPA Long-Term Financing'!$HB$673</definedName>
    <definedName name="par_2028">'[1]NCSPA Long-Term Financing'!$HI$673</definedName>
    <definedName name="par_2029">'[1]NCSPA Long-Term Financing'!$HP$673</definedName>
    <definedName name="par_2030">'[1]NCSPA Long-Term Financing'!$HW$673</definedName>
    <definedName name="par_2031">'[1]NCSPA Long-Term Financing'!$ID$673</definedName>
    <definedName name="par_2032">'[1]NCSPA Long-Term Financing'!$IK$673</definedName>
    <definedName name="par_2033">'[1]NCSPA Long-Term Financing'!$IR$673</definedName>
    <definedName name="parb_1">'[1]NCSPA Long-Term Financing'!$AP$827</definedName>
    <definedName name="parb_10">'[1]NCSPA Long-Term Financing'!$DA$827</definedName>
    <definedName name="parb_11">'[1]NCSPA Long-Term Financing'!$DH$827</definedName>
    <definedName name="parb_12">'[1]NCSPA Long-Term Financing'!$DO$827</definedName>
    <definedName name="parb_13">'[1]NCSPA Long-Term Financing'!$DV$827</definedName>
    <definedName name="parb_14">'[1]NCSPA Long-Term Financing'!$EC$827</definedName>
    <definedName name="parb_15">'[1]NCSPA Long-Term Financing'!$EJ$827</definedName>
    <definedName name="parb_16">'[1]NCSPA Long-Term Financing'!$EQ$827</definedName>
    <definedName name="parb_17">'[1]NCSPA Long-Term Financing'!$EX$827</definedName>
    <definedName name="parb_18">'[1]NCSPA Long-Term Financing'!$FE$827</definedName>
    <definedName name="parb_19">'[1]NCSPA Long-Term Financing'!$FL$827</definedName>
    <definedName name="parb_2">'[1]NCSPA Long-Term Financing'!$AW$827</definedName>
    <definedName name="parb_20">'[1]NCSPA Long-Term Financing'!$FS$827</definedName>
    <definedName name="parb_2003">'[2]Bus Acquisition'!$AQ$131</definedName>
    <definedName name="parb_2004">'[2]Bus Acquisition'!$AX$131</definedName>
    <definedName name="parb_2005">'[2]Bus Acquisition'!$BE$131</definedName>
    <definedName name="parb_2006">'[2]Bus Acquisition'!$BL$131</definedName>
    <definedName name="parb_2007">'[2]Bus Acquisition'!$BS$131</definedName>
    <definedName name="parb_2008">'[2]Bus Acquisition'!$BZ$131</definedName>
    <definedName name="parb_2009">'[2]Bus Acquisition'!$CG$131</definedName>
    <definedName name="parb_2010">'[2]Bus Acquisition'!$CN$131</definedName>
    <definedName name="parb_2011">'[2]Bus Acquisition'!$CU$131</definedName>
    <definedName name="parb_2012">'[2]Bus Acquisition'!$DB$131</definedName>
    <definedName name="parb_2013">'[2]Bus Acquisition'!$DI$131</definedName>
    <definedName name="parb_2014">'[2]Bus Acquisition'!$DP$131</definedName>
    <definedName name="parb_2015">'[2]Bus Acquisition'!$DW$131</definedName>
    <definedName name="parb_2016">'[2]Bus Acquisition'!$ED$131</definedName>
    <definedName name="parb_2017">'[2]Bus Acquisition'!$EK$131</definedName>
    <definedName name="parb_2018">'[2]Bus Acquisition'!$ER$131</definedName>
    <definedName name="parb_2019">'[2]Bus Acquisition'!$EY$131</definedName>
    <definedName name="parb_2020">'[2]Bus Acquisition'!$FF$131</definedName>
    <definedName name="parb_2021">'[2]Bus Acquisition'!$FM$131</definedName>
    <definedName name="parb_2022">'[2]Bus Acquisition'!$FT$131</definedName>
    <definedName name="parb_2023">'[2]Bus Acquisition'!$GA$131</definedName>
    <definedName name="parb_2024">'[2]Bus Acquisition'!$GH$131</definedName>
    <definedName name="parb_2025">'[2]Bus Acquisition'!$GO$131</definedName>
    <definedName name="parb_2026">'[2]Bus Acquisition'!$GV$131</definedName>
    <definedName name="parb_2027">'[2]Bus Acquisition'!$HC$131</definedName>
    <definedName name="parb_2028">'[2]Bus Acquisition'!$HJ$131</definedName>
    <definedName name="parb_2029">'[2]Bus Acquisition'!$HQ$131</definedName>
    <definedName name="parb_2030">'[2]Bus Acquisition'!$HX$131</definedName>
    <definedName name="parb_2031">'[2]Bus Acquisition'!$IE$131</definedName>
    <definedName name="parb_2032">'[2]Bus Acquisition'!$IL$131</definedName>
    <definedName name="parb_2033">'[2]Bus Acquisition'!$IS$131</definedName>
    <definedName name="parb_21">'[1]NCSPA Long-Term Financing'!$FZ$827</definedName>
    <definedName name="parb_22">'[1]NCSPA Long-Term Financing'!$GG$827</definedName>
    <definedName name="parb_23">'[1]NCSPA Long-Term Financing'!$GN$827</definedName>
    <definedName name="parb_24">'[1]NCSPA Long-Term Financing'!$GU$827</definedName>
    <definedName name="parb_25">'[1]NCSPA Long-Term Financing'!$HB$827</definedName>
    <definedName name="parb_26">'[1]NCSPA Long-Term Financing'!$HI$827</definedName>
    <definedName name="parb_27">'[1]NCSPA Long-Term Financing'!$HP$827</definedName>
    <definedName name="parb_28">'[1]NCSPA Long-Term Financing'!$HW$827</definedName>
    <definedName name="parb_29">'[1]NCSPA Long-Term Financing'!$ID$827</definedName>
    <definedName name="parb_3">'[1]NCSPA Long-Term Financing'!$BD$827</definedName>
    <definedName name="parb_30">'[1]NCSPA Long-Term Financing'!$IK$827</definedName>
    <definedName name="parb_31">'[1]NCSPA Long-Term Financing'!$IR$827</definedName>
    <definedName name="parb_4">'[1]NCSPA Long-Term Financing'!$BK$827</definedName>
    <definedName name="parb_5">'[1]NCSPA Long-Term Financing'!$BR$827</definedName>
    <definedName name="parb_6">'[1]NCSPA Long-Term Financing'!$BY$827</definedName>
    <definedName name="parb_7">'[1]NCSPA Long-Term Financing'!$CF$827</definedName>
    <definedName name="parb_8">'[1]NCSPA Long-Term Financing'!$CM$827</definedName>
    <definedName name="parb_9">'[1]NCSPA Long-Term Financing'!$CT$827</definedName>
    <definedName name="ParkingMgmtServ">#REF!</definedName>
    <definedName name="ParttimeOT">#REF!</definedName>
    <definedName name="ParttimePay">#REF!</definedName>
    <definedName name="Pension">#REF!</definedName>
    <definedName name="Pledge_Rev_Growth">'[1]Cash Flow Summary'!$B$1</definedName>
    <definedName name="PostageExpMail">#REF!</definedName>
    <definedName name="PR" hidden="1">{"'TextofAccounts'!$A$1:$B$180"}</definedName>
    <definedName name="prhours171">#REF!</definedName>
    <definedName name="_xlnm.Print_Area" localSheetId="1">'I. Assumptions'!$D$1:$E$39</definedName>
    <definedName name="_xlnm.Print_Area" localSheetId="2">'II. S&amp;U'!$C$1:$I$63</definedName>
    <definedName name="_xlnm.Print_Area" localSheetId="3">'III. CF - Concessionaire'!$B$1:$N$65</definedName>
    <definedName name="_xlnm.Print_Area" localSheetId="0">Instructions!$C$1:$C$31</definedName>
    <definedName name="_xlnm.Print_Area" localSheetId="4">'IV. CF - Public Entity'!$B$1:$K$42</definedName>
    <definedName name="_xlnm.Print_Area" localSheetId="5">'V. Debt Cvrg - Concessionaire'!$C$3:$J$58</definedName>
    <definedName name="_xlnm.Print_Area" localSheetId="6">'VI. Debt Cvrg - Public Entity'!$C$3:$Z$50</definedName>
    <definedName name="_xlnm.Print_Area" localSheetId="7">'VII. Tax'!$C$2:$S$57</definedName>
    <definedName name="_xlnm.Print_Area" localSheetId="8">'VIII. Depreciation'!$C$1:$I$59</definedName>
    <definedName name="_xlnm.Print_Area">#REF!</definedName>
    <definedName name="PrintingBinding">#REF!</definedName>
    <definedName name="proj03">#REF!</definedName>
    <definedName name="proj04">#REF!</definedName>
    <definedName name="proj05">#REF!</definedName>
    <definedName name="proj06">#REF!</definedName>
    <definedName name="PromoConsulting">#REF!</definedName>
    <definedName name="PromoEventsOther">#REF!</definedName>
    <definedName name="PromoMaterials">#REF!</definedName>
    <definedName name="PropandCas">#REF!</definedName>
    <definedName name="PRSummary">#REF!</definedName>
    <definedName name="pthours173">#REF!</definedName>
    <definedName name="pthours175">#REF!</definedName>
    <definedName name="pthours176">#REF!</definedName>
    <definedName name="pthours177">#REF!</definedName>
    <definedName name="pthours178">#REF!</definedName>
    <definedName name="pthours182">#REF!</definedName>
    <definedName name="pthours185">#REF!</definedName>
    <definedName name="pthours186">#REF!</definedName>
    <definedName name="pthours189">#REF!</definedName>
    <definedName name="pthours190">#REF!</definedName>
    <definedName name="pthours192">#REF!</definedName>
    <definedName name="pthours193">#REF!</definedName>
    <definedName name="pthours194">#REF!</definedName>
    <definedName name="pthours195">#REF!</definedName>
    <definedName name="pthours196">#REF!</definedName>
    <definedName name="pthours197">#REF!</definedName>
    <definedName name="pthours713">#REF!</definedName>
    <definedName name="pthours917">#REF!</definedName>
    <definedName name="pthourspr">#REF!</definedName>
    <definedName name="PTOT">'[3]160 LD'!#REF!</definedName>
    <definedName name="ptot171">#REF!</definedName>
    <definedName name="ptot172">#REF!</definedName>
    <definedName name="ptot173">#REF!</definedName>
    <definedName name="ptot175">#REF!</definedName>
    <definedName name="ptot176">#REF!</definedName>
    <definedName name="ptot177">#REF!</definedName>
    <definedName name="ptot178">#REF!</definedName>
    <definedName name="ptot182">#REF!</definedName>
    <definedName name="ptot185">#REF!</definedName>
    <definedName name="ptot186">#REF!</definedName>
    <definedName name="ptot189">#REF!</definedName>
    <definedName name="ptot190">#REF!</definedName>
    <definedName name="PTOT192">#REF!</definedName>
    <definedName name="ptot193">#REF!</definedName>
    <definedName name="ptot194">#REF!</definedName>
    <definedName name="ptot195">#REF!</definedName>
    <definedName name="ptot196">#REF!</definedName>
    <definedName name="ptot197">#REF!</definedName>
    <definedName name="ptotpr">#REF!</definedName>
    <definedName name="ptpr">#REF!</definedName>
    <definedName name="RegCompliance">#REF!</definedName>
    <definedName name="RegisTrainingFees">#REF!</definedName>
    <definedName name="RegularPay">#REF!</definedName>
    <definedName name="RewardsRecog">#REF!</definedName>
    <definedName name="RRSwitchingServ">#REF!</definedName>
    <definedName name="SecurityServ">#REF!</definedName>
    <definedName name="Senior_DSCR">'[1]Coverage &amp; Capacity'!$E$1</definedName>
    <definedName name="SmallOperEquip">#REF!</definedName>
    <definedName name="SPF_par_1">'[1]Special Purpose Facility'!$AP$350</definedName>
    <definedName name="SPF_par_10">'[1]Special Purpose Facility'!$DA$350</definedName>
    <definedName name="SPF_par_11">'[1]Special Purpose Facility'!$DH$350</definedName>
    <definedName name="SPF_par_12">'[1]Special Purpose Facility'!$DO$350</definedName>
    <definedName name="SPF_par_13">'[1]Special Purpose Facility'!$DV$350</definedName>
    <definedName name="SPF_par_14">'[1]Special Purpose Facility'!$EC$350</definedName>
    <definedName name="SPF_par_15">'[1]Special Purpose Facility'!$EJ$350</definedName>
    <definedName name="SPF_par_16">'[1]Special Purpose Facility'!$EQ$350</definedName>
    <definedName name="SPF_par_17">'[1]Special Purpose Facility'!$EX$350</definedName>
    <definedName name="SPF_par_18">'[1]Special Purpose Facility'!$FE$350</definedName>
    <definedName name="SPF_par_19">'[1]Special Purpose Facility'!$FL$350</definedName>
    <definedName name="SPF_par_2">'[1]Special Purpose Facility'!$AW$350</definedName>
    <definedName name="SPF_par_20">'[1]Special Purpose Facility'!$FS$350</definedName>
    <definedName name="SPF_par_21">'[1]Special Purpose Facility'!$FZ$350</definedName>
    <definedName name="SPF_par_22">'[1]Special Purpose Facility'!$GG$350</definedName>
    <definedName name="SPF_par_23">'[1]Special Purpose Facility'!$GN$350</definedName>
    <definedName name="SPF_par_24">'[1]Special Purpose Facility'!$GU$350</definedName>
    <definedName name="SPF_par_25">'[1]Special Purpose Facility'!$HB$350</definedName>
    <definedName name="SPF_par_26">'[1]Special Purpose Facility'!$HI$350</definedName>
    <definedName name="SPF_par_27">'[1]Special Purpose Facility'!$HP$350</definedName>
    <definedName name="SPF_par_28">'[1]Special Purpose Facility'!$HW$350</definedName>
    <definedName name="SPF_par_29">'[1]Special Purpose Facility'!$ID$350</definedName>
    <definedName name="SPF_par_3">'[1]Special Purpose Facility'!$BD$350</definedName>
    <definedName name="SPF_par_30">'[1]Special Purpose Facility'!$IK$350</definedName>
    <definedName name="SPF_par_31">'[1]Special Purpose Facility'!$IR$350</definedName>
    <definedName name="SPF_par_4">'[1]Special Purpose Facility'!$BK$350</definedName>
    <definedName name="SPF_par_5">'[1]Special Purpose Facility'!$BR$350</definedName>
    <definedName name="SPF_par_6">'[1]Special Purpose Facility'!$BY$350</definedName>
    <definedName name="SPF_par_7">'[1]Special Purpose Facility'!$CF$350</definedName>
    <definedName name="SPF_par_8">'[1]Special Purpose Facility'!$CM$350</definedName>
    <definedName name="SPF_par_9">'[1]Special Purpose Facility'!$CT$350</definedName>
    <definedName name="Sponsorships">#REF!</definedName>
    <definedName name="SR_DS_Table">'[1]NCSPA Long-Term Financing'!$C$318:$BD$357</definedName>
    <definedName name="srcabfiprin">#REF!</definedName>
    <definedName name="srcablastmat">#REF!</definedName>
    <definedName name="srcibfiprin">#REF!</definedName>
    <definedName name="srciblastmat">#REF!</definedName>
    <definedName name="Summary">#REF!</definedName>
    <definedName name="Summary171">#REF!</definedName>
    <definedName name="Summary172">#REF!</definedName>
    <definedName name="Summary173">#REF!</definedName>
    <definedName name="Summary175">#REF!</definedName>
    <definedName name="Summary176">#REF!</definedName>
    <definedName name="Summary177">#REF!</definedName>
    <definedName name="Summary178">#REF!</definedName>
    <definedName name="Summary182">#REF!</definedName>
    <definedName name="Summary185">#REF!</definedName>
    <definedName name="Summary186">#REF!</definedName>
    <definedName name="Summary189">#REF!</definedName>
    <definedName name="Summary190">#REF!</definedName>
    <definedName name="Summary192">#REF!</definedName>
    <definedName name="Summary193">#REF!</definedName>
    <definedName name="Summary194">#REF!</definedName>
    <definedName name="Summary195">#REF!</definedName>
    <definedName name="Summary196">#REF!</definedName>
    <definedName name="Summary197">#REF!</definedName>
    <definedName name="Taxes">#REF!</definedName>
    <definedName name="TDS_Rail_Table">'[2]Rail Projects'!$A$159:$B$189</definedName>
    <definedName name="Telecommunications">#REF!</definedName>
    <definedName name="TEMP144">'[3]144 LD'!#REF!</definedName>
    <definedName name="temp171">#REF!</definedName>
    <definedName name="temp172">#REF!</definedName>
    <definedName name="temp173">#REF!</definedName>
    <definedName name="temp175">#REF!</definedName>
    <definedName name="temp176">#REF!</definedName>
    <definedName name="temp177">#REF!</definedName>
    <definedName name="temp178">#REF!</definedName>
    <definedName name="temp182">#REF!</definedName>
    <definedName name="temp185">#REF!</definedName>
    <definedName name="temp186">#REF!</definedName>
    <definedName name="temp189">#REF!</definedName>
    <definedName name="temp190">#REF!</definedName>
    <definedName name="TEMP192">#REF!</definedName>
    <definedName name="temp193">#REF!</definedName>
    <definedName name="temp194">#REF!</definedName>
    <definedName name="temp195">#REF!</definedName>
    <definedName name="temp196">#REF!</definedName>
    <definedName name="temp197">#REF!</definedName>
    <definedName name="TempHelp">#REF!</definedName>
    <definedName name="TEMPHOURS144">'[3]144 LD'!#REF!</definedName>
    <definedName name="TEMPHOURS192">#REF!</definedName>
    <definedName name="temphrs171">#REF!</definedName>
    <definedName name="temphrs172">#REF!</definedName>
    <definedName name="temphrs173">#REF!</definedName>
    <definedName name="temphrs175">#REF!</definedName>
    <definedName name="temphrs176">#REF!</definedName>
    <definedName name="temphrs177">#REF!</definedName>
    <definedName name="temphrs178">#REF!</definedName>
    <definedName name="temphrs182">#REF!</definedName>
    <definedName name="temphrs185">#REF!</definedName>
    <definedName name="temphrs186">#REF!</definedName>
    <definedName name="temphrs189">#REF!</definedName>
    <definedName name="temphrs190">#REF!</definedName>
    <definedName name="temphrs193">#REF!</definedName>
    <definedName name="temphrs194">#REF!</definedName>
    <definedName name="temphrs195">#REF!</definedName>
    <definedName name="temphrs196">#REF!</definedName>
    <definedName name="temphrs197">#REF!</definedName>
    <definedName name="temphrspr">#REF!</definedName>
    <definedName name="temppr">#REF!</definedName>
    <definedName name="TerminalLiability">#REF!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21">#REF!</definedName>
    <definedName name="TextRefCopy3">#REF!</definedName>
    <definedName name="TextRefCopy4">#REF!</definedName>
    <definedName name="TextRefCopy5">#REF!</definedName>
    <definedName name="TextRefCopy6">#REF!</definedName>
    <definedName name="TextRefCopy7">#REF!</definedName>
    <definedName name="TextRefCopy8">#REF!</definedName>
    <definedName name="TextRefCopyRangeCount" hidden="1">2</definedName>
    <definedName name="UnempClaims">#REF!</definedName>
    <definedName name="Uniforms">#REF!</definedName>
    <definedName name="VacationAccrual">#REF!</definedName>
    <definedName name="Water">#REF!</definedName>
    <definedName name="WorkersComp">#REF!</definedName>
    <definedName name="wrn.Aging._.and._.Trend._.Analysis." hidden="1">{#N/A,#N/A,FALSE,"Aging Summary";#N/A,#N/A,FALSE,"Ratio Analysis";#N/A,#N/A,FALSE,"Test 120 Day Accts";#N/A,#N/A,FALSE,"Tickmarks"}</definedName>
    <definedName name="wrn.ScenarioDSChange." localSheetId="7" hidden="1">{"Scenario1",#N/A,TRUE,"CashFlow Changes";"Scenario2",#N/A,TRUE,"CashFlow Changes"}</definedName>
    <definedName name="wrn.ScenarioDSChange." hidden="1">{"Scenario1",#N/A,TRUE,"CashFlow Changes";"Scenario2",#N/A,TRUE,"CashFlow Changes"}</definedName>
    <definedName name="wrn.Workshop._.Inc._.Stmt._.1." hidden="1">{"WorkshopIncStmt1",#N/A,FALSE,"Inc Stmt with Admin and NonOp"}</definedName>
    <definedName name="X" hidden="1">{"'TextofAccounts'!$A$1:$B$180"}</definedName>
    <definedName name="Xavrev" hidden="1">{"'TextofAccounts'!$A$1:$B$180"}</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26</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4" hidden="1">#REF!</definedName>
    <definedName name="XRefCopy24Row" hidden="1">#REF!</definedName>
    <definedName name="XRefCopy25" hidden="1">#REF!</definedName>
    <definedName name="XRefCopy25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33</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2" hidden="1">#REF!</definedName>
    <definedName name="XRefPaste22Row" hidden="1">#REF!</definedName>
    <definedName name="XRefPaste23" hidden="1">#REF!</definedName>
    <definedName name="XRefPaste23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31</definedName>
    <definedName name="XRev" hidden="1">{"'TextofAccounts'!$A$1:$B$180"}</definedName>
    <definedName name="Y" hidden="1">{"'TextofAccounts'!$A$1:$B$180"}</definedName>
    <definedName name="Yavrev" hidden="1">{"'TextofAccounts'!$A$1:$B$180"}</definedName>
    <definedName name="Years">#REF!</definedName>
    <definedName name="YRev" hidden="1">{"'TextofAccounts'!$A$1:$B$180"}</definedName>
    <definedName name="Z" hidden="1">{"'TextofAccounts'!$A$1:$B$180"}</definedName>
  </definedNames>
  <calcPr calcId="145621" calcMode="manual" calcCompleted="0" calcOnSave="0"/>
</workbook>
</file>

<file path=xl/calcChain.xml><?xml version="1.0" encoding="utf-8"?>
<calcChain xmlns="http://schemas.openxmlformats.org/spreadsheetml/2006/main">
  <c r="D13" i="12" l="1"/>
  <c r="D14" i="12" s="1"/>
  <c r="D15" i="12" s="1"/>
  <c r="D16" i="12" s="1"/>
  <c r="D17" i="12" s="1"/>
  <c r="D18" i="12" s="1"/>
  <c r="D19" i="12" s="1"/>
  <c r="D20" i="12" s="1"/>
  <c r="D21" i="12" s="1"/>
  <c r="D22" i="12" s="1"/>
  <c r="D23" i="12" s="1"/>
  <c r="D24" i="12" s="1"/>
  <c r="D25" i="12" s="1"/>
  <c r="D26" i="12" s="1"/>
  <c r="D27" i="12" s="1"/>
  <c r="D28" i="12" s="1"/>
  <c r="D29" i="12" s="1"/>
  <c r="D30" i="12" s="1"/>
  <c r="D31" i="12" s="1"/>
  <c r="D32" i="12" s="1"/>
  <c r="D33" i="12" s="1"/>
  <c r="D34" i="12" s="1"/>
  <c r="D35" i="12" s="1"/>
  <c r="D36" i="12" s="1"/>
  <c r="D37" i="12" s="1"/>
  <c r="D38" i="12" s="1"/>
  <c r="D39" i="12" s="1"/>
  <c r="D40" i="12" s="1"/>
  <c r="D12" i="12"/>
  <c r="C11" i="12"/>
  <c r="C12" i="12" s="1"/>
  <c r="C13" i="12" s="1"/>
  <c r="C14" i="12" s="1"/>
  <c r="C15" i="12" s="1"/>
  <c r="C16" i="12" s="1"/>
  <c r="C17" i="12" s="1"/>
  <c r="C18" i="12" s="1"/>
  <c r="C19" i="12" s="1"/>
  <c r="C20" i="12" s="1"/>
  <c r="C21" i="12" s="1"/>
  <c r="C22" i="12" s="1"/>
  <c r="C23" i="12" s="1"/>
  <c r="C24" i="12" s="1"/>
  <c r="C25" i="12" s="1"/>
  <c r="C26" i="12" s="1"/>
  <c r="C27" i="12" s="1"/>
  <c r="C28" i="12" s="1"/>
  <c r="C29" i="12" s="1"/>
  <c r="C30" i="12" s="1"/>
  <c r="C31" i="12" s="1"/>
  <c r="C32" i="12" s="1"/>
  <c r="C33" i="12" s="1"/>
  <c r="C34" i="12" s="1"/>
  <c r="C35" i="12" s="1"/>
  <c r="C36" i="12" s="1"/>
  <c r="C37" i="12" s="1"/>
  <c r="C38" i="12" s="1"/>
  <c r="C39" i="12" s="1"/>
  <c r="C40" i="12" s="1"/>
  <c r="B2" i="19"/>
  <c r="D59" i="11"/>
  <c r="D58" i="11"/>
  <c r="D57" i="11"/>
  <c r="D56" i="11"/>
  <c r="D55" i="11"/>
  <c r="D54" i="11"/>
  <c r="D53" i="11"/>
  <c r="D52" i="11"/>
  <c r="D51" i="11"/>
  <c r="D50" i="11"/>
  <c r="D49" i="11"/>
  <c r="D48" i="11"/>
  <c r="D47" i="11"/>
  <c r="D46" i="11"/>
  <c r="D45" i="11"/>
  <c r="D44" i="11"/>
  <c r="D43" i="11"/>
  <c r="D42" i="11"/>
  <c r="D41" i="11"/>
  <c r="D40" i="11"/>
  <c r="D39" i="11"/>
  <c r="D38" i="11"/>
  <c r="D37" i="11"/>
  <c r="D36" i="11"/>
  <c r="D35" i="11"/>
  <c r="D34" i="1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E48" i="20"/>
  <c r="E47" i="20"/>
  <c r="E46" i="20"/>
  <c r="E45" i="20"/>
  <c r="E44" i="20"/>
  <c r="E43" i="20"/>
  <c r="E42" i="20"/>
  <c r="E41" i="20"/>
  <c r="E40" i="20"/>
  <c r="E39" i="20"/>
  <c r="E38" i="20"/>
  <c r="E37" i="20"/>
  <c r="E36" i="20"/>
  <c r="E35" i="20"/>
  <c r="E34" i="20"/>
  <c r="E33" i="20"/>
  <c r="E32" i="20"/>
  <c r="E31" i="20"/>
  <c r="E30" i="20"/>
  <c r="E29" i="20"/>
  <c r="E28" i="20"/>
  <c r="E27" i="20"/>
  <c r="E26" i="20"/>
  <c r="E25" i="20"/>
  <c r="E24" i="20"/>
  <c r="E23" i="20"/>
  <c r="E22" i="20"/>
  <c r="E21" i="20"/>
  <c r="E20" i="20"/>
  <c r="E19" i="20"/>
  <c r="E18" i="20"/>
  <c r="E17" i="20"/>
  <c r="E16" i="20"/>
  <c r="E15" i="20"/>
  <c r="E14" i="20"/>
  <c r="E13" i="20"/>
  <c r="E12" i="20"/>
  <c r="E11" i="20"/>
  <c r="E10" i="20"/>
  <c r="E9" i="20"/>
  <c r="E8" i="20"/>
  <c r="D48" i="20"/>
  <c r="D47" i="20"/>
  <c r="D46" i="20"/>
  <c r="D45" i="20"/>
  <c r="D44" i="20"/>
  <c r="D43" i="20"/>
  <c r="D42" i="20"/>
  <c r="D41" i="20"/>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Q9" i="11"/>
  <c r="F7" i="14"/>
  <c r="E7" i="14"/>
  <c r="F42" i="13" l="1"/>
  <c r="F5" i="13"/>
  <c r="F8" i="13"/>
  <c r="F49" i="13"/>
  <c r="F7" i="13"/>
  <c r="F40" i="13"/>
  <c r="F56" i="13"/>
  <c r="F41" i="13"/>
  <c r="F48" i="13"/>
  <c r="F50" i="13"/>
  <c r="F6" i="13"/>
  <c r="F43" i="13"/>
  <c r="F51" i="13"/>
  <c r="F52" i="13"/>
  <c r="F45" i="13"/>
  <c r="F53" i="13"/>
  <c r="F46" i="13"/>
  <c r="F54" i="13"/>
  <c r="F44" i="13"/>
  <c r="F39" i="13"/>
  <c r="F47" i="13"/>
  <c r="F55" i="13"/>
  <c r="I56" i="13"/>
  <c r="P3" i="20"/>
  <c r="C3" i="20"/>
  <c r="Q39" i="11" l="1"/>
  <c r="Q38" i="11"/>
  <c r="Q37" i="11"/>
  <c r="Q36" i="11"/>
  <c r="Q35" i="11"/>
  <c r="Q34" i="11"/>
  <c r="Q33" i="11"/>
  <c r="Q32" i="11"/>
  <c r="Q31" i="11"/>
  <c r="Q30" i="11"/>
  <c r="Q29" i="11"/>
  <c r="Q28" i="11"/>
  <c r="Q27" i="11"/>
  <c r="Q26" i="11"/>
  <c r="Q25" i="11"/>
  <c r="Q24" i="11"/>
  <c r="Q23" i="11"/>
  <c r="Q22" i="11"/>
  <c r="Q21" i="11"/>
  <c r="Q20" i="11"/>
  <c r="Q19" i="11"/>
  <c r="Q18" i="11"/>
  <c r="Q17" i="11"/>
  <c r="Q16" i="11"/>
  <c r="Q15" i="11"/>
  <c r="Q14" i="11"/>
  <c r="Q13" i="11"/>
  <c r="Q12" i="11"/>
  <c r="Q11" i="11"/>
  <c r="Q10" i="11"/>
  <c r="D35" i="29"/>
  <c r="D34" i="29"/>
  <c r="D29" i="29"/>
  <c r="F7" i="6" l="1"/>
  <c r="E7" i="6"/>
  <c r="D7" i="6"/>
  <c r="R48" i="20"/>
  <c r="Q48" i="20"/>
  <c r="R47" i="20"/>
  <c r="Q47" i="20"/>
  <c r="R46" i="20"/>
  <c r="Q46" i="20"/>
  <c r="R45" i="20"/>
  <c r="Q45" i="20"/>
  <c r="R44" i="20"/>
  <c r="Q44" i="20"/>
  <c r="R43" i="20"/>
  <c r="Q43" i="20"/>
  <c r="R42" i="20"/>
  <c r="Q42" i="20"/>
  <c r="R41" i="20"/>
  <c r="Q41" i="20"/>
  <c r="R40" i="20"/>
  <c r="Q40" i="20"/>
  <c r="R39" i="20"/>
  <c r="Q39" i="20"/>
  <c r="R38" i="20"/>
  <c r="Q38" i="20"/>
  <c r="R37" i="20"/>
  <c r="Q37" i="20"/>
  <c r="R36" i="20"/>
  <c r="Q36" i="20"/>
  <c r="R35" i="20"/>
  <c r="Q35" i="20"/>
  <c r="R34" i="20"/>
  <c r="Q34" i="20"/>
  <c r="R33" i="20"/>
  <c r="Q33" i="20"/>
  <c r="R32" i="20"/>
  <c r="Q32" i="20"/>
  <c r="R31" i="20"/>
  <c r="Q31" i="20"/>
  <c r="R30" i="20"/>
  <c r="Q30" i="20"/>
  <c r="R29" i="20"/>
  <c r="Q29" i="20"/>
  <c r="R28" i="20"/>
  <c r="Q28" i="20"/>
  <c r="R27" i="20"/>
  <c r="Q27" i="20"/>
  <c r="R26" i="20"/>
  <c r="Q26" i="20"/>
  <c r="R25" i="20"/>
  <c r="Q25" i="20"/>
  <c r="R24" i="20"/>
  <c r="Q24" i="20"/>
  <c r="R23" i="20"/>
  <c r="Q23" i="20"/>
  <c r="R22" i="20"/>
  <c r="Q22" i="20"/>
  <c r="R21" i="20"/>
  <c r="Q21" i="20"/>
  <c r="R20" i="20"/>
  <c r="Q20" i="20"/>
  <c r="R19" i="20"/>
  <c r="Q19" i="20"/>
  <c r="R18" i="20"/>
  <c r="Q18" i="20"/>
  <c r="R17" i="20"/>
  <c r="Q17" i="20"/>
  <c r="R16" i="20"/>
  <c r="Q16" i="20"/>
  <c r="R15" i="20"/>
  <c r="Q15" i="20"/>
  <c r="R14" i="20"/>
  <c r="Q14" i="20"/>
  <c r="R13" i="20"/>
  <c r="Q13" i="20"/>
  <c r="R12" i="20"/>
  <c r="Q12" i="20"/>
  <c r="R11" i="20"/>
  <c r="Q11" i="20"/>
  <c r="R10" i="20"/>
  <c r="Q10" i="20"/>
  <c r="R9" i="20"/>
  <c r="Q9" i="20"/>
  <c r="R8" i="20"/>
  <c r="Q8" i="20"/>
  <c r="M8" i="20"/>
  <c r="L8" i="20"/>
  <c r="K8" i="20"/>
  <c r="J8" i="20"/>
  <c r="I8" i="20"/>
  <c r="H8" i="20"/>
  <c r="M48" i="20"/>
  <c r="L48" i="20"/>
  <c r="K48" i="20"/>
  <c r="J48" i="20"/>
  <c r="I48" i="20"/>
  <c r="H48" i="20"/>
  <c r="M47" i="20"/>
  <c r="L47" i="20"/>
  <c r="K47" i="20"/>
  <c r="J47" i="20"/>
  <c r="I47" i="20"/>
  <c r="H47" i="20"/>
  <c r="M46" i="20"/>
  <c r="L46" i="20"/>
  <c r="K46" i="20"/>
  <c r="J46" i="20"/>
  <c r="I46" i="20"/>
  <c r="H46" i="20"/>
  <c r="M45" i="20"/>
  <c r="L45" i="20"/>
  <c r="K45" i="20"/>
  <c r="J45" i="20"/>
  <c r="I45" i="20"/>
  <c r="H45" i="20"/>
  <c r="M44" i="20"/>
  <c r="L44" i="20"/>
  <c r="K44" i="20"/>
  <c r="J44" i="20"/>
  <c r="I44" i="20"/>
  <c r="H44" i="20"/>
  <c r="M43" i="20"/>
  <c r="L43" i="20"/>
  <c r="K43" i="20"/>
  <c r="J43" i="20"/>
  <c r="I43" i="20"/>
  <c r="H43" i="20"/>
  <c r="M42" i="20"/>
  <c r="L42" i="20"/>
  <c r="K42" i="20"/>
  <c r="J42" i="20"/>
  <c r="I42" i="20"/>
  <c r="H42" i="20"/>
  <c r="M41" i="20"/>
  <c r="L41" i="20"/>
  <c r="K41" i="20"/>
  <c r="J41" i="20"/>
  <c r="I41" i="20"/>
  <c r="H41" i="20"/>
  <c r="M40" i="20"/>
  <c r="L40" i="20"/>
  <c r="K40" i="20"/>
  <c r="J40" i="20"/>
  <c r="I40" i="20"/>
  <c r="H40" i="20"/>
  <c r="M39" i="20"/>
  <c r="L39" i="20"/>
  <c r="K39" i="20"/>
  <c r="J39" i="20"/>
  <c r="I39" i="20"/>
  <c r="H39" i="20"/>
  <c r="M38" i="20"/>
  <c r="L38" i="20"/>
  <c r="K38" i="20"/>
  <c r="J38" i="20"/>
  <c r="I38" i="20"/>
  <c r="H38" i="20"/>
  <c r="M37" i="20"/>
  <c r="L37" i="20"/>
  <c r="K37" i="20"/>
  <c r="J37" i="20"/>
  <c r="I37" i="20"/>
  <c r="H37" i="20"/>
  <c r="M36" i="20"/>
  <c r="L36" i="20"/>
  <c r="K36" i="20"/>
  <c r="J36" i="20"/>
  <c r="I36" i="20"/>
  <c r="H36" i="20"/>
  <c r="M35" i="20"/>
  <c r="L35" i="20"/>
  <c r="K35" i="20"/>
  <c r="J35" i="20"/>
  <c r="I35" i="20"/>
  <c r="H35" i="20"/>
  <c r="M34" i="20"/>
  <c r="L34" i="20"/>
  <c r="K34" i="20"/>
  <c r="J34" i="20"/>
  <c r="I34" i="20"/>
  <c r="H34" i="20"/>
  <c r="M33" i="20"/>
  <c r="L33" i="20"/>
  <c r="K33" i="20"/>
  <c r="J33" i="20"/>
  <c r="I33" i="20"/>
  <c r="H33" i="20"/>
  <c r="M32" i="20"/>
  <c r="L32" i="20"/>
  <c r="K32" i="20"/>
  <c r="J32" i="20"/>
  <c r="I32" i="20"/>
  <c r="H32" i="20"/>
  <c r="M31" i="20"/>
  <c r="L31" i="20"/>
  <c r="K31" i="20"/>
  <c r="J31" i="20"/>
  <c r="I31" i="20"/>
  <c r="H31" i="20"/>
  <c r="M30" i="20"/>
  <c r="L30" i="20"/>
  <c r="K30" i="20"/>
  <c r="J30" i="20"/>
  <c r="I30" i="20"/>
  <c r="H30" i="20"/>
  <c r="M29" i="20"/>
  <c r="L29" i="20"/>
  <c r="K29" i="20"/>
  <c r="J29" i="20"/>
  <c r="I29" i="20"/>
  <c r="H29" i="20"/>
  <c r="M28" i="20"/>
  <c r="L28" i="20"/>
  <c r="K28" i="20"/>
  <c r="J28" i="20"/>
  <c r="I28" i="20"/>
  <c r="H28" i="20"/>
  <c r="M27" i="20"/>
  <c r="L27" i="20"/>
  <c r="K27" i="20"/>
  <c r="J27" i="20"/>
  <c r="I27" i="20"/>
  <c r="H27" i="20"/>
  <c r="M26" i="20"/>
  <c r="L26" i="20"/>
  <c r="K26" i="20"/>
  <c r="J26" i="20"/>
  <c r="I26" i="20"/>
  <c r="H26" i="20"/>
  <c r="M25" i="20"/>
  <c r="L25" i="20"/>
  <c r="K25" i="20"/>
  <c r="J25" i="20"/>
  <c r="I25" i="20"/>
  <c r="H25" i="20"/>
  <c r="M24" i="20"/>
  <c r="L24" i="20"/>
  <c r="K24" i="20"/>
  <c r="J24" i="20"/>
  <c r="I24" i="20"/>
  <c r="H24" i="20"/>
  <c r="M23" i="20"/>
  <c r="L23" i="20"/>
  <c r="K23" i="20"/>
  <c r="J23" i="20"/>
  <c r="I23" i="20"/>
  <c r="H23" i="20"/>
  <c r="M22" i="20"/>
  <c r="L22" i="20"/>
  <c r="K22" i="20"/>
  <c r="J22" i="20"/>
  <c r="I22" i="20"/>
  <c r="H22" i="20"/>
  <c r="M21" i="20"/>
  <c r="L21" i="20"/>
  <c r="K21" i="20"/>
  <c r="J21" i="20"/>
  <c r="I21" i="20"/>
  <c r="H21" i="20"/>
  <c r="M20" i="20"/>
  <c r="L20" i="20"/>
  <c r="K20" i="20"/>
  <c r="J20" i="20"/>
  <c r="I20" i="20"/>
  <c r="H20" i="20"/>
  <c r="M19" i="20"/>
  <c r="L19" i="20"/>
  <c r="K19" i="20"/>
  <c r="J19" i="20"/>
  <c r="I19" i="20"/>
  <c r="H19" i="20"/>
  <c r="M18" i="20"/>
  <c r="L18" i="20"/>
  <c r="K18" i="20"/>
  <c r="J18" i="20"/>
  <c r="I18" i="20"/>
  <c r="H18" i="20"/>
  <c r="M17" i="20"/>
  <c r="L17" i="20"/>
  <c r="K17" i="20"/>
  <c r="J17" i="20"/>
  <c r="I17" i="20"/>
  <c r="H17" i="20"/>
  <c r="M16" i="20"/>
  <c r="L16" i="20"/>
  <c r="K16" i="20"/>
  <c r="J16" i="20"/>
  <c r="I16" i="20"/>
  <c r="H16" i="20"/>
  <c r="M15" i="20"/>
  <c r="L15" i="20"/>
  <c r="K15" i="20"/>
  <c r="J15" i="20"/>
  <c r="I15" i="20"/>
  <c r="H15" i="20"/>
  <c r="M14" i="20"/>
  <c r="L14" i="20"/>
  <c r="K14" i="20"/>
  <c r="J14" i="20"/>
  <c r="I14" i="20"/>
  <c r="H14" i="20"/>
  <c r="M13" i="20"/>
  <c r="L13" i="20"/>
  <c r="K13" i="20"/>
  <c r="J13" i="20"/>
  <c r="I13" i="20"/>
  <c r="H13" i="20"/>
  <c r="M12" i="20"/>
  <c r="L12" i="20"/>
  <c r="K12" i="20"/>
  <c r="J12" i="20"/>
  <c r="I12" i="20"/>
  <c r="H12" i="20"/>
  <c r="M11" i="20"/>
  <c r="L11" i="20"/>
  <c r="K11" i="20"/>
  <c r="J11" i="20"/>
  <c r="I11" i="20"/>
  <c r="H11" i="20"/>
  <c r="M10" i="20"/>
  <c r="L10" i="20"/>
  <c r="K10" i="20"/>
  <c r="J10" i="20"/>
  <c r="I10" i="20"/>
  <c r="H10" i="20"/>
  <c r="M9" i="20"/>
  <c r="L9" i="20"/>
  <c r="K9" i="20"/>
  <c r="J9" i="20"/>
  <c r="I9" i="20"/>
  <c r="H9" i="20"/>
  <c r="F47" i="6"/>
  <c r="E47" i="6"/>
  <c r="D47" i="6"/>
  <c r="F46" i="6"/>
  <c r="E46" i="6"/>
  <c r="D46" i="6"/>
  <c r="F45" i="6"/>
  <c r="E45" i="6"/>
  <c r="D45" i="6"/>
  <c r="F44" i="6"/>
  <c r="E44" i="6"/>
  <c r="D44" i="6"/>
  <c r="F43" i="6"/>
  <c r="E43" i="6"/>
  <c r="D43" i="6"/>
  <c r="F42" i="6"/>
  <c r="E42" i="6"/>
  <c r="D42" i="6"/>
  <c r="F41" i="6"/>
  <c r="E41" i="6"/>
  <c r="D41" i="6"/>
  <c r="F40" i="6"/>
  <c r="E40" i="6"/>
  <c r="D40" i="6"/>
  <c r="F39" i="6"/>
  <c r="E39" i="6"/>
  <c r="D39" i="6"/>
  <c r="F38" i="6"/>
  <c r="E38" i="6"/>
  <c r="D38" i="6"/>
  <c r="F37" i="6"/>
  <c r="E37" i="6"/>
  <c r="D37" i="6"/>
  <c r="F36" i="6"/>
  <c r="E36" i="6"/>
  <c r="D36" i="6"/>
  <c r="F35" i="6"/>
  <c r="E35" i="6"/>
  <c r="D35" i="6"/>
  <c r="F34" i="6"/>
  <c r="E34" i="6"/>
  <c r="D34" i="6"/>
  <c r="F33" i="6"/>
  <c r="E33" i="6"/>
  <c r="D33" i="6"/>
  <c r="F32" i="6"/>
  <c r="E32" i="6"/>
  <c r="D32" i="6"/>
  <c r="F31" i="6"/>
  <c r="E31" i="6"/>
  <c r="D31" i="6"/>
  <c r="F30" i="6"/>
  <c r="E30" i="6"/>
  <c r="D30" i="6"/>
  <c r="F29" i="6"/>
  <c r="E29" i="6"/>
  <c r="D29" i="6"/>
  <c r="F28" i="6"/>
  <c r="E28" i="6"/>
  <c r="D28" i="6"/>
  <c r="F27" i="6"/>
  <c r="E27" i="6"/>
  <c r="D27" i="6"/>
  <c r="F26" i="6"/>
  <c r="E26" i="6"/>
  <c r="D26" i="6"/>
  <c r="F25" i="6"/>
  <c r="E25" i="6"/>
  <c r="D25" i="6"/>
  <c r="F24" i="6"/>
  <c r="E24" i="6"/>
  <c r="D24" i="6"/>
  <c r="F23" i="6"/>
  <c r="E23" i="6"/>
  <c r="D23" i="6"/>
  <c r="F22" i="6"/>
  <c r="E22" i="6"/>
  <c r="D22" i="6"/>
  <c r="F21" i="6"/>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X5" i="11"/>
  <c r="O5" i="11"/>
  <c r="J6" i="11"/>
  <c r="F6" i="11"/>
  <c r="E33" i="29"/>
  <c r="E32" i="29"/>
  <c r="B10" i="9"/>
  <c r="E10" i="9" s="1"/>
  <c r="G5" i="13" s="1"/>
  <c r="F8" i="11"/>
  <c r="J8" i="11" s="1"/>
  <c r="N8" i="11" s="1"/>
  <c r="AB8" i="11" s="1"/>
  <c r="B9" i="11"/>
  <c r="I21" i="14"/>
  <c r="D16" i="14"/>
  <c r="H16" i="14"/>
  <c r="H27" i="14"/>
  <c r="D27" i="29"/>
  <c r="D7" i="14" s="1"/>
  <c r="K10" i="9" l="1"/>
  <c r="B10" i="11"/>
  <c r="B11" i="9"/>
  <c r="E11" i="9" s="1"/>
  <c r="G6" i="13" s="1"/>
  <c r="F9" i="11"/>
  <c r="J9" i="11" s="1"/>
  <c r="N9" i="11" s="1"/>
  <c r="AB9" i="11" s="1"/>
  <c r="AE60" i="11"/>
  <c r="AD60" i="11"/>
  <c r="AC60" i="11"/>
  <c r="Y60" i="11"/>
  <c r="X60" i="11"/>
  <c r="W60" i="11"/>
  <c r="V60" i="11"/>
  <c r="U60" i="11"/>
  <c r="T60" i="11"/>
  <c r="S60" i="11"/>
  <c r="R60" i="11"/>
  <c r="Q60" i="11"/>
  <c r="P60" i="11"/>
  <c r="O60" i="11"/>
  <c r="K11" i="9" l="1"/>
  <c r="B11" i="11"/>
  <c r="B12" i="9"/>
  <c r="F10" i="11"/>
  <c r="J10" i="11" s="1"/>
  <c r="N10" i="11" s="1"/>
  <c r="AB10" i="11" s="1"/>
  <c r="E12" i="9" l="1"/>
  <c r="K12" i="9"/>
  <c r="B12" i="11"/>
  <c r="F11" i="11"/>
  <c r="J11" i="11" s="1"/>
  <c r="N11" i="11" s="1"/>
  <c r="AB11" i="11" s="1"/>
  <c r="B13" i="9"/>
  <c r="U48" i="20"/>
  <c r="U47" i="20"/>
  <c r="U46" i="20"/>
  <c r="U45" i="20"/>
  <c r="U44" i="20"/>
  <c r="U43" i="20"/>
  <c r="U42" i="20"/>
  <c r="U41" i="20"/>
  <c r="U40" i="20"/>
  <c r="U39" i="20"/>
  <c r="U38" i="20"/>
  <c r="U37" i="20"/>
  <c r="U36" i="20"/>
  <c r="U35" i="20"/>
  <c r="U34" i="20"/>
  <c r="U33" i="20"/>
  <c r="U32" i="20"/>
  <c r="U31" i="20"/>
  <c r="U30" i="20"/>
  <c r="U29" i="20"/>
  <c r="U28" i="20"/>
  <c r="U27" i="20"/>
  <c r="U26" i="20"/>
  <c r="U25" i="20"/>
  <c r="U24" i="20"/>
  <c r="U23" i="20"/>
  <c r="U22" i="20"/>
  <c r="U21" i="20"/>
  <c r="U20" i="20"/>
  <c r="U19" i="20"/>
  <c r="U18" i="20"/>
  <c r="U17" i="20"/>
  <c r="U16" i="20"/>
  <c r="U15" i="20"/>
  <c r="U14" i="20"/>
  <c r="U13" i="20"/>
  <c r="U12" i="20"/>
  <c r="U11" i="20"/>
  <c r="U10" i="20"/>
  <c r="U9" i="20"/>
  <c r="U8" i="20"/>
  <c r="N40" i="20"/>
  <c r="N41" i="20"/>
  <c r="N42" i="20"/>
  <c r="N43" i="20"/>
  <c r="N44" i="20"/>
  <c r="N45" i="20"/>
  <c r="N46" i="20"/>
  <c r="N47" i="20"/>
  <c r="N48" i="20"/>
  <c r="N39" i="20"/>
  <c r="N38" i="20"/>
  <c r="N37" i="20"/>
  <c r="N36" i="20"/>
  <c r="N35" i="20"/>
  <c r="N34" i="20"/>
  <c r="N33" i="20"/>
  <c r="N32" i="20"/>
  <c r="N31" i="20"/>
  <c r="N30" i="20"/>
  <c r="N29" i="20"/>
  <c r="N28" i="20"/>
  <c r="N27" i="20"/>
  <c r="N26" i="20"/>
  <c r="N25" i="20"/>
  <c r="N24" i="20"/>
  <c r="N23" i="20"/>
  <c r="N22" i="20"/>
  <c r="N21" i="20"/>
  <c r="N20" i="20"/>
  <c r="N19" i="20"/>
  <c r="N18" i="20"/>
  <c r="N17" i="20"/>
  <c r="N16" i="20"/>
  <c r="N15" i="20"/>
  <c r="N14" i="20"/>
  <c r="N13" i="20"/>
  <c r="N12" i="20"/>
  <c r="N11" i="20"/>
  <c r="N10" i="20"/>
  <c r="N9" i="20"/>
  <c r="N8" i="20"/>
  <c r="M49" i="20"/>
  <c r="L49" i="20"/>
  <c r="K49" i="20"/>
  <c r="I49" i="20"/>
  <c r="D49" i="20"/>
  <c r="Z8" i="11"/>
  <c r="E13" i="9" l="1"/>
  <c r="G8" i="13" s="1"/>
  <c r="K13" i="9"/>
  <c r="G7" i="13"/>
  <c r="N49" i="20"/>
  <c r="E49" i="20"/>
  <c r="H49" i="20"/>
  <c r="E12" i="14" s="1"/>
  <c r="I12" i="14" s="1"/>
  <c r="J49" i="20"/>
  <c r="E13" i="14" s="1"/>
  <c r="I13" i="14" s="1"/>
  <c r="U49" i="20"/>
  <c r="Z60" i="11"/>
  <c r="Q49" i="20"/>
  <c r="F11" i="14" s="1"/>
  <c r="F14" i="14" s="1"/>
  <c r="F23" i="14" s="1"/>
  <c r="R49" i="20"/>
  <c r="B13" i="11"/>
  <c r="F12" i="11"/>
  <c r="J12" i="11" s="1"/>
  <c r="N12" i="11" s="1"/>
  <c r="AB12" i="11" s="1"/>
  <c r="B14" i="9"/>
  <c r="K14" i="9" l="1"/>
  <c r="E14" i="9"/>
  <c r="F26" i="14"/>
  <c r="F18" i="14"/>
  <c r="B14" i="11"/>
  <c r="B15" i="9"/>
  <c r="F13" i="11"/>
  <c r="J13" i="11" s="1"/>
  <c r="N13" i="11" s="1"/>
  <c r="AB13" i="11" s="1"/>
  <c r="H59" i="11"/>
  <c r="H58" i="11"/>
  <c r="H57" i="11"/>
  <c r="H56" i="11"/>
  <c r="H55" i="11"/>
  <c r="H54" i="11"/>
  <c r="H53" i="11"/>
  <c r="H52" i="11"/>
  <c r="H51" i="11"/>
  <c r="H50" i="11"/>
  <c r="H49" i="11"/>
  <c r="H48" i="11"/>
  <c r="H47" i="11"/>
  <c r="H46" i="11"/>
  <c r="H45" i="11"/>
  <c r="H44" i="11"/>
  <c r="H43" i="11"/>
  <c r="H42" i="11"/>
  <c r="H41" i="11"/>
  <c r="H40" i="11"/>
  <c r="H39" i="11"/>
  <c r="G37" i="19" s="1"/>
  <c r="H38" i="11"/>
  <c r="G36" i="19" s="1"/>
  <c r="H37" i="11"/>
  <c r="G35" i="19" s="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C37" i="19"/>
  <c r="C36" i="19"/>
  <c r="C35" i="19"/>
  <c r="C34" i="19"/>
  <c r="C33" i="19"/>
  <c r="C32" i="19"/>
  <c r="C31" i="19"/>
  <c r="C30" i="19"/>
  <c r="C29" i="19"/>
  <c r="C28" i="19"/>
  <c r="C27" i="19"/>
  <c r="C26" i="19"/>
  <c r="C25" i="19"/>
  <c r="C24" i="19"/>
  <c r="C23" i="19"/>
  <c r="C22" i="19"/>
  <c r="C21" i="19"/>
  <c r="C20" i="19"/>
  <c r="C19" i="19"/>
  <c r="C18" i="19"/>
  <c r="C17" i="19"/>
  <c r="C16" i="19"/>
  <c r="C15" i="19"/>
  <c r="C14" i="19"/>
  <c r="C13" i="19"/>
  <c r="C12" i="19"/>
  <c r="C11" i="19"/>
  <c r="C10" i="19"/>
  <c r="C9" i="19"/>
  <c r="C8" i="19"/>
  <c r="C7" i="19"/>
  <c r="C6" i="19"/>
  <c r="C6" i="14"/>
  <c r="K15" i="9" l="1"/>
  <c r="E15" i="9"/>
  <c r="G10" i="13" s="1"/>
  <c r="G9" i="13"/>
  <c r="B15" i="11"/>
  <c r="B16" i="9"/>
  <c r="F14" i="11"/>
  <c r="J14" i="11" s="1"/>
  <c r="N14" i="11" s="1"/>
  <c r="AB14" i="11" s="1"/>
  <c r="E16" i="9" l="1"/>
  <c r="G11" i="13" s="1"/>
  <c r="K16" i="9"/>
  <c r="B16" i="11"/>
  <c r="B17" i="9"/>
  <c r="F15" i="11"/>
  <c r="J15" i="11" s="1"/>
  <c r="N15" i="11" s="1"/>
  <c r="AB15" i="11" s="1"/>
  <c r="P5" i="20"/>
  <c r="E17" i="9" l="1"/>
  <c r="G12" i="13" s="1"/>
  <c r="K17" i="9"/>
  <c r="B17" i="11"/>
  <c r="B18" i="9"/>
  <c r="F16" i="11"/>
  <c r="J16" i="11" s="1"/>
  <c r="N16" i="11" s="1"/>
  <c r="AB16" i="11" s="1"/>
  <c r="I17" i="14"/>
  <c r="I15" i="14"/>
  <c r="D18" i="14"/>
  <c r="E18" i="9" l="1"/>
  <c r="G13" i="13" s="1"/>
  <c r="K18" i="9"/>
  <c r="D21" i="14"/>
  <c r="D31" i="14" s="1"/>
  <c r="B18" i="11"/>
  <c r="B19" i="9"/>
  <c r="F17" i="11"/>
  <c r="J17" i="11" s="1"/>
  <c r="N17" i="11" s="1"/>
  <c r="AB17" i="11" s="1"/>
  <c r="K19" i="9" l="1"/>
  <c r="E19" i="9"/>
  <c r="G14" i="13" s="1"/>
  <c r="B19" i="11"/>
  <c r="B20" i="9"/>
  <c r="F18" i="11"/>
  <c r="J18" i="11" s="1"/>
  <c r="N18" i="11" s="1"/>
  <c r="AB18" i="11" s="1"/>
  <c r="H24" i="14"/>
  <c r="E20" i="9" l="1"/>
  <c r="G15" i="13" s="1"/>
  <c r="K20" i="9"/>
  <c r="B20" i="11"/>
  <c r="B21" i="9"/>
  <c r="F19" i="11"/>
  <c r="J19" i="11" s="1"/>
  <c r="N19" i="11" s="1"/>
  <c r="AB19" i="11" s="1"/>
  <c r="K21" i="9" l="1"/>
  <c r="E21" i="9"/>
  <c r="G16" i="13" s="1"/>
  <c r="B21" i="11"/>
  <c r="B22" i="9"/>
  <c r="F20" i="11"/>
  <c r="J20" i="11" s="1"/>
  <c r="N20" i="11" s="1"/>
  <c r="AB20" i="11" s="1"/>
  <c r="K22" i="9" l="1"/>
  <c r="E22" i="9"/>
  <c r="G17" i="13" s="1"/>
  <c r="B22" i="11"/>
  <c r="B23" i="9"/>
  <c r="F21" i="11"/>
  <c r="J21" i="11" s="1"/>
  <c r="N21" i="11" s="1"/>
  <c r="AB21" i="11" s="1"/>
  <c r="K23" i="9" l="1"/>
  <c r="E23" i="9"/>
  <c r="G18" i="13" s="1"/>
  <c r="B23" i="11"/>
  <c r="B24" i="9"/>
  <c r="F22" i="11"/>
  <c r="J22" i="11" s="1"/>
  <c r="N22" i="11" s="1"/>
  <c r="AB22" i="11" s="1"/>
  <c r="B6" i="19"/>
  <c r="E24" i="9" l="1"/>
  <c r="G19" i="13" s="1"/>
  <c r="K24" i="9"/>
  <c r="B24" i="11"/>
  <c r="B25" i="9"/>
  <c r="F23" i="11"/>
  <c r="J23" i="11" s="1"/>
  <c r="N23" i="11" s="1"/>
  <c r="AB23" i="11" s="1"/>
  <c r="E25" i="9" l="1"/>
  <c r="G20" i="13" s="1"/>
  <c r="K25" i="9"/>
  <c r="B25" i="11"/>
  <c r="B26" i="9"/>
  <c r="F24" i="11"/>
  <c r="J24" i="11" s="1"/>
  <c r="N24" i="11" s="1"/>
  <c r="AB24" i="11" s="1"/>
  <c r="I27" i="14"/>
  <c r="E26" i="9" l="1"/>
  <c r="G21" i="13" s="1"/>
  <c r="K26" i="9"/>
  <c r="B26" i="11"/>
  <c r="B27" i="9"/>
  <c r="F25" i="11"/>
  <c r="J25" i="11" s="1"/>
  <c r="N25" i="11" s="1"/>
  <c r="AB25" i="11" s="1"/>
  <c r="H18" i="14"/>
  <c r="I16" i="14"/>
  <c r="E27" i="9" l="1"/>
  <c r="G22" i="13" s="1"/>
  <c r="K27" i="9"/>
  <c r="H21" i="14"/>
  <c r="H31" i="14" s="1"/>
  <c r="B27" i="11"/>
  <c r="F26" i="11"/>
  <c r="J26" i="11" s="1"/>
  <c r="N26" i="11" s="1"/>
  <c r="AB26" i="11" s="1"/>
  <c r="B28" i="9"/>
  <c r="H60" i="9"/>
  <c r="I55" i="13" s="1"/>
  <c r="H59" i="9"/>
  <c r="I54" i="13" s="1"/>
  <c r="H58" i="9"/>
  <c r="I53" i="13" s="1"/>
  <c r="H57" i="9"/>
  <c r="I52" i="13" s="1"/>
  <c r="H56" i="9"/>
  <c r="I51" i="13" s="1"/>
  <c r="H55" i="9"/>
  <c r="I50" i="13" s="1"/>
  <c r="H54" i="9"/>
  <c r="I49" i="13" s="1"/>
  <c r="H53" i="9"/>
  <c r="I48" i="13" s="1"/>
  <c r="H52" i="9"/>
  <c r="I47" i="13" s="1"/>
  <c r="H51" i="9"/>
  <c r="I46" i="13" s="1"/>
  <c r="G34" i="19"/>
  <c r="G33" i="19"/>
  <c r="G32" i="19"/>
  <c r="G31" i="19"/>
  <c r="G30" i="19"/>
  <c r="G29" i="19"/>
  <c r="G28" i="19"/>
  <c r="G27" i="19"/>
  <c r="G26" i="19"/>
  <c r="G25" i="19"/>
  <c r="G24" i="19"/>
  <c r="G23" i="19"/>
  <c r="G22" i="19"/>
  <c r="G21" i="19"/>
  <c r="G20" i="19"/>
  <c r="G19" i="19"/>
  <c r="G18" i="19"/>
  <c r="G17" i="19"/>
  <c r="G16" i="19"/>
  <c r="G15" i="19"/>
  <c r="G14" i="19"/>
  <c r="G13" i="19"/>
  <c r="G12" i="19"/>
  <c r="G11" i="19"/>
  <c r="G10" i="19"/>
  <c r="G9" i="19"/>
  <c r="G8" i="19"/>
  <c r="G7" i="19"/>
  <c r="G6" i="19"/>
  <c r="E28" i="9" l="1"/>
  <c r="G23" i="13" s="1"/>
  <c r="K28" i="9"/>
  <c r="K62" i="9" s="1"/>
  <c r="B28" i="11"/>
  <c r="F27" i="11"/>
  <c r="J27" i="11" s="1"/>
  <c r="N27" i="11" s="1"/>
  <c r="AB27" i="11" s="1"/>
  <c r="B29" i="9"/>
  <c r="E29" i="9" s="1"/>
  <c r="G24" i="13" s="1"/>
  <c r="C38" i="19"/>
  <c r="G38" i="19"/>
  <c r="B29" i="11" l="1"/>
  <c r="B30" i="9"/>
  <c r="E30" i="9" s="1"/>
  <c r="G25" i="13" s="1"/>
  <c r="F28" i="11"/>
  <c r="J28" i="11" s="1"/>
  <c r="N28" i="11" s="1"/>
  <c r="AB28" i="11" s="1"/>
  <c r="C8" i="20"/>
  <c r="F8" i="20" l="1"/>
  <c r="G8" i="20" s="1"/>
  <c r="P8" i="20"/>
  <c r="S8" i="20" s="1"/>
  <c r="B30" i="11"/>
  <c r="B31" i="9"/>
  <c r="E31" i="9" s="1"/>
  <c r="G26" i="13" s="1"/>
  <c r="F29" i="11"/>
  <c r="J29" i="11" s="1"/>
  <c r="N29" i="11" s="1"/>
  <c r="AB29" i="11" s="1"/>
  <c r="T8" i="20" l="1"/>
  <c r="B31" i="11"/>
  <c r="B32" i="9"/>
  <c r="E32" i="9" s="1"/>
  <c r="G27" i="13" s="1"/>
  <c r="F30" i="11"/>
  <c r="J30" i="11" s="1"/>
  <c r="N30" i="11" s="1"/>
  <c r="AB30" i="11" s="1"/>
  <c r="O8" i="20" l="1"/>
  <c r="B32" i="11"/>
  <c r="B33" i="9"/>
  <c r="E33" i="9" s="1"/>
  <c r="G28" i="13" s="1"/>
  <c r="F31" i="11"/>
  <c r="J31" i="11" s="1"/>
  <c r="N31" i="11" s="1"/>
  <c r="AB31" i="11" s="1"/>
  <c r="B33" i="11" l="1"/>
  <c r="B34" i="9"/>
  <c r="E34" i="9" s="1"/>
  <c r="G29" i="13" s="1"/>
  <c r="F32" i="11"/>
  <c r="J32" i="11" s="1"/>
  <c r="N32" i="11" s="1"/>
  <c r="AB32" i="11" s="1"/>
  <c r="B34" i="11" l="1"/>
  <c r="B35" i="9"/>
  <c r="E35" i="9" s="1"/>
  <c r="G30" i="13" s="1"/>
  <c r="F33" i="11"/>
  <c r="J33" i="11" s="1"/>
  <c r="N33" i="11" s="1"/>
  <c r="AB33" i="11" s="1"/>
  <c r="B35" i="11" l="1"/>
  <c r="F34" i="11"/>
  <c r="J34" i="11" s="1"/>
  <c r="N34" i="11" s="1"/>
  <c r="AB34" i="11" s="1"/>
  <c r="B36" i="9"/>
  <c r="E36" i="9" s="1"/>
  <c r="G31" i="13" s="1"/>
  <c r="B36" i="11" l="1"/>
  <c r="F35" i="11"/>
  <c r="J35" i="11" s="1"/>
  <c r="N35" i="11" s="1"/>
  <c r="AB35" i="11" s="1"/>
  <c r="B37" i="9"/>
  <c r="E37" i="9" s="1"/>
  <c r="G32" i="13" s="1"/>
  <c r="B37" i="11" l="1"/>
  <c r="F36" i="11"/>
  <c r="J36" i="11" s="1"/>
  <c r="N36" i="11" s="1"/>
  <c r="AB36" i="11" s="1"/>
  <c r="B38" i="9"/>
  <c r="E38" i="9" s="1"/>
  <c r="G33" i="13" s="1"/>
  <c r="B38" i="11" l="1"/>
  <c r="B39" i="9"/>
  <c r="E39" i="9" s="1"/>
  <c r="G34" i="13" s="1"/>
  <c r="F37" i="11"/>
  <c r="J37" i="11" s="1"/>
  <c r="N37" i="11" s="1"/>
  <c r="AB37" i="11" s="1"/>
  <c r="B39" i="11" l="1"/>
  <c r="B40" i="9"/>
  <c r="E40" i="9" s="1"/>
  <c r="G35" i="13" s="1"/>
  <c r="F38" i="11"/>
  <c r="J38" i="11" s="1"/>
  <c r="N38" i="11" s="1"/>
  <c r="AB38" i="11" s="1"/>
  <c r="B40" i="11" l="1"/>
  <c r="B41" i="9"/>
  <c r="E41" i="9" s="1"/>
  <c r="G36" i="13" s="1"/>
  <c r="F39" i="11"/>
  <c r="J39" i="11" s="1"/>
  <c r="N39" i="11" s="1"/>
  <c r="AB39" i="11" s="1"/>
  <c r="B41" i="11" l="1"/>
  <c r="B42" i="9"/>
  <c r="E42" i="9" s="1"/>
  <c r="G37" i="13" s="1"/>
  <c r="F40" i="11"/>
  <c r="J40" i="11" s="1"/>
  <c r="N40" i="11" s="1"/>
  <c r="AB40" i="11" s="1"/>
  <c r="B42" i="11" l="1"/>
  <c r="B43" i="9"/>
  <c r="E43" i="9" s="1"/>
  <c r="G38" i="13" s="1"/>
  <c r="F41" i="11"/>
  <c r="J41" i="11" s="1"/>
  <c r="N41" i="11" s="1"/>
  <c r="AB41" i="11" s="1"/>
  <c r="B43" i="11" l="1"/>
  <c r="B44" i="9"/>
  <c r="E44" i="9" s="1"/>
  <c r="G39" i="13" s="1"/>
  <c r="F42" i="11"/>
  <c r="J42" i="11" s="1"/>
  <c r="N42" i="11" s="1"/>
  <c r="AB42" i="11" s="1"/>
  <c r="B44" i="11" l="1"/>
  <c r="B45" i="9"/>
  <c r="E45" i="9" s="1"/>
  <c r="G40" i="13" s="1"/>
  <c r="F43" i="11"/>
  <c r="J43" i="11" s="1"/>
  <c r="N43" i="11" s="1"/>
  <c r="AB43" i="11" s="1"/>
  <c r="B45" i="11" l="1"/>
  <c r="B46" i="9"/>
  <c r="E46" i="9" s="1"/>
  <c r="G41" i="13" s="1"/>
  <c r="F44" i="11"/>
  <c r="J44" i="11" s="1"/>
  <c r="N44" i="11" s="1"/>
  <c r="AB44" i="11" s="1"/>
  <c r="B46" i="11" l="1"/>
  <c r="B47" i="9"/>
  <c r="E47" i="9" s="1"/>
  <c r="G42" i="13" s="1"/>
  <c r="F45" i="11"/>
  <c r="J45" i="11" s="1"/>
  <c r="N45" i="11" s="1"/>
  <c r="AB45" i="11" s="1"/>
  <c r="B47" i="11" l="1"/>
  <c r="B48" i="9"/>
  <c r="E48" i="9" s="1"/>
  <c r="G43" i="13" s="1"/>
  <c r="F46" i="11"/>
  <c r="J46" i="11" s="1"/>
  <c r="N46" i="11" s="1"/>
  <c r="AB46" i="11" s="1"/>
  <c r="B48" i="11" l="1"/>
  <c r="B49" i="9"/>
  <c r="E49" i="9" s="1"/>
  <c r="G44" i="13" s="1"/>
  <c r="F47" i="11"/>
  <c r="J47" i="11" s="1"/>
  <c r="N47" i="11" s="1"/>
  <c r="AB47" i="11" s="1"/>
  <c r="B49" i="11" l="1"/>
  <c r="B50" i="9"/>
  <c r="E50" i="9" s="1"/>
  <c r="G45" i="13" s="1"/>
  <c r="F48" i="11"/>
  <c r="J48" i="11" s="1"/>
  <c r="N48" i="11" s="1"/>
  <c r="AB48" i="11" s="1"/>
  <c r="B50" i="11" l="1"/>
  <c r="B51" i="9"/>
  <c r="E51" i="9" s="1"/>
  <c r="G46" i="13" s="1"/>
  <c r="F49" i="11"/>
  <c r="J49" i="11" s="1"/>
  <c r="N49" i="11" s="1"/>
  <c r="AB49" i="11" s="1"/>
  <c r="B51" i="11" l="1"/>
  <c r="B52" i="9"/>
  <c r="E52" i="9" s="1"/>
  <c r="G47" i="13" s="1"/>
  <c r="F50" i="11"/>
  <c r="J50" i="11" s="1"/>
  <c r="N50" i="11" s="1"/>
  <c r="AB50" i="11" s="1"/>
  <c r="B52" i="11" l="1"/>
  <c r="B53" i="9"/>
  <c r="E53" i="9" s="1"/>
  <c r="G48" i="13" s="1"/>
  <c r="F51" i="11"/>
  <c r="J51" i="11" s="1"/>
  <c r="N51" i="11" s="1"/>
  <c r="AB51" i="11" s="1"/>
  <c r="B53" i="11" l="1"/>
  <c r="B54" i="9"/>
  <c r="E54" i="9" s="1"/>
  <c r="G49" i="13" s="1"/>
  <c r="F52" i="11"/>
  <c r="J52" i="11" s="1"/>
  <c r="N52" i="11" s="1"/>
  <c r="AB52" i="11" s="1"/>
  <c r="B54" i="11" l="1"/>
  <c r="B55" i="9"/>
  <c r="E55" i="9" s="1"/>
  <c r="G50" i="13" s="1"/>
  <c r="F53" i="11"/>
  <c r="J53" i="11" s="1"/>
  <c r="N53" i="11" s="1"/>
  <c r="AB53" i="11" s="1"/>
  <c r="B55" i="11" l="1"/>
  <c r="B56" i="9"/>
  <c r="E56" i="9" s="1"/>
  <c r="G51" i="13" s="1"/>
  <c r="F54" i="11"/>
  <c r="J54" i="11" s="1"/>
  <c r="N54" i="11" s="1"/>
  <c r="AB54" i="11" s="1"/>
  <c r="B56" i="11" l="1"/>
  <c r="B57" i="9"/>
  <c r="E57" i="9" s="1"/>
  <c r="G52" i="13" s="1"/>
  <c r="F55" i="11"/>
  <c r="J55" i="11" s="1"/>
  <c r="N55" i="11" s="1"/>
  <c r="AB55" i="11" s="1"/>
  <c r="B57" i="11" l="1"/>
  <c r="B58" i="9"/>
  <c r="E58" i="9" s="1"/>
  <c r="G53" i="13" s="1"/>
  <c r="F56" i="11"/>
  <c r="J56" i="11" s="1"/>
  <c r="N56" i="11" s="1"/>
  <c r="AB56" i="11" s="1"/>
  <c r="B58" i="11" l="1"/>
  <c r="B59" i="9"/>
  <c r="E59" i="9" s="1"/>
  <c r="G54" i="13" s="1"/>
  <c r="F57" i="11"/>
  <c r="J57" i="11" s="1"/>
  <c r="N57" i="11" s="1"/>
  <c r="AB57" i="11" s="1"/>
  <c r="B59" i="11" l="1"/>
  <c r="F58" i="11"/>
  <c r="J58" i="11" s="1"/>
  <c r="N58" i="11" s="1"/>
  <c r="AB58" i="11" s="1"/>
  <c r="B60" i="9"/>
  <c r="E60" i="9" s="1"/>
  <c r="G55" i="13" s="1"/>
  <c r="F59" i="11" l="1"/>
  <c r="J59" i="11" s="1"/>
  <c r="N59" i="11" s="1"/>
  <c r="AB59" i="11" s="1"/>
  <c r="B61" i="9"/>
  <c r="E61" i="9" s="1"/>
  <c r="G56" i="13" l="1"/>
  <c r="E62" i="9"/>
  <c r="V8" i="20"/>
  <c r="J6" i="19"/>
  <c r="C5" i="13" l="1"/>
  <c r="D5" i="12"/>
  <c r="F10" i="12" s="1"/>
  <c r="E11" i="12" l="1"/>
  <c r="F11" i="12" s="1"/>
  <c r="K5" i="13"/>
  <c r="C7" i="6"/>
  <c r="E12" i="12" l="1"/>
  <c r="F12" i="12" s="1"/>
  <c r="G7" i="6"/>
  <c r="H7" i="6" s="1"/>
  <c r="C9" i="20"/>
  <c r="F9" i="20" s="1"/>
  <c r="B7" i="19"/>
  <c r="B8" i="19"/>
  <c r="C6" i="13"/>
  <c r="C8" i="6"/>
  <c r="E13" i="12" l="1"/>
  <c r="F13" i="12" s="1"/>
  <c r="K6" i="13"/>
  <c r="G8" i="6"/>
  <c r="H8" i="6" s="1"/>
  <c r="G9" i="20"/>
  <c r="P9" i="20"/>
  <c r="C7" i="13"/>
  <c r="C10" i="20"/>
  <c r="C9" i="6"/>
  <c r="G9" i="6" s="1"/>
  <c r="E14" i="12" l="1"/>
  <c r="F14" i="12" s="1"/>
  <c r="K7" i="13"/>
  <c r="F10" i="20"/>
  <c r="G10" i="20" s="1"/>
  <c r="O10" i="20" s="1"/>
  <c r="S9" i="20"/>
  <c r="T9" i="20" s="1"/>
  <c r="H9" i="6"/>
  <c r="O9" i="20"/>
  <c r="P10" i="20"/>
  <c r="C10" i="6"/>
  <c r="G10" i="6" s="1"/>
  <c r="B9" i="19"/>
  <c r="C8" i="13"/>
  <c r="C11" i="20"/>
  <c r="E15" i="12" l="1"/>
  <c r="F15" i="12" s="1"/>
  <c r="K8" i="13"/>
  <c r="S10" i="20"/>
  <c r="T10" i="20" s="1"/>
  <c r="F11" i="20"/>
  <c r="G11" i="20" s="1"/>
  <c r="O11" i="20" s="1"/>
  <c r="H10" i="6"/>
  <c r="P11" i="20"/>
  <c r="B11" i="19"/>
  <c r="B10" i="19"/>
  <c r="C11" i="6"/>
  <c r="G11" i="6" s="1"/>
  <c r="C9" i="13"/>
  <c r="C12" i="20"/>
  <c r="E16" i="12" l="1"/>
  <c r="F16" i="12" s="1"/>
  <c r="K9" i="13"/>
  <c r="F12" i="20"/>
  <c r="G12" i="20" s="1"/>
  <c r="O12" i="20" s="1"/>
  <c r="S11" i="20"/>
  <c r="T11" i="20" s="1"/>
  <c r="H11" i="6"/>
  <c r="P12" i="20"/>
  <c r="C12" i="6"/>
  <c r="G12" i="6" s="1"/>
  <c r="B12" i="19"/>
  <c r="C10" i="13"/>
  <c r="C13" i="20"/>
  <c r="F13" i="20" s="1"/>
  <c r="E17" i="12" l="1"/>
  <c r="F17" i="12" s="1"/>
  <c r="K10" i="13"/>
  <c r="S12" i="20"/>
  <c r="T12" i="20" s="1"/>
  <c r="G13" i="20"/>
  <c r="O13" i="20" s="1"/>
  <c r="H12" i="6"/>
  <c r="P13" i="20"/>
  <c r="B13" i="19"/>
  <c r="C13" i="6"/>
  <c r="G13" i="6" s="1"/>
  <c r="C11" i="13"/>
  <c r="C14" i="20"/>
  <c r="F14" i="20" s="1"/>
  <c r="E18" i="12" l="1"/>
  <c r="F18" i="12" s="1"/>
  <c r="K11" i="13"/>
  <c r="S13" i="20"/>
  <c r="T13" i="20" s="1"/>
  <c r="H13" i="6"/>
  <c r="G14" i="20"/>
  <c r="O14" i="20" s="1"/>
  <c r="C15" i="20"/>
  <c r="F15" i="20" s="1"/>
  <c r="B14" i="19"/>
  <c r="C12" i="13"/>
  <c r="P14" i="20"/>
  <c r="C14" i="6"/>
  <c r="G14" i="6" s="1"/>
  <c r="E19" i="12" l="1"/>
  <c r="F19" i="12" s="1"/>
  <c r="K12" i="13"/>
  <c r="S14" i="20"/>
  <c r="T14" i="20" s="1"/>
  <c r="G15" i="20"/>
  <c r="O15" i="20" s="1"/>
  <c r="H14" i="6"/>
  <c r="P15" i="20"/>
  <c r="C15" i="6"/>
  <c r="G15" i="6" s="1"/>
  <c r="B15" i="19"/>
  <c r="C16" i="20"/>
  <c r="F16" i="20" s="1"/>
  <c r="C13" i="13"/>
  <c r="B16" i="19"/>
  <c r="C16" i="6"/>
  <c r="G16" i="6" s="1"/>
  <c r="E20" i="12" l="1"/>
  <c r="F20" i="12" s="1"/>
  <c r="K13" i="13"/>
  <c r="S15" i="20"/>
  <c r="T15" i="20" s="1"/>
  <c r="P16" i="20"/>
  <c r="H15" i="6"/>
  <c r="H16" i="6"/>
  <c r="G16" i="20"/>
  <c r="O16" i="20" s="1"/>
  <c r="C17" i="20"/>
  <c r="F17" i="20" s="1"/>
  <c r="C14" i="13"/>
  <c r="C15" i="13"/>
  <c r="C18" i="20"/>
  <c r="F18" i="20" s="1"/>
  <c r="B17" i="19"/>
  <c r="C17" i="6"/>
  <c r="G17" i="6" s="1"/>
  <c r="E21" i="12" l="1"/>
  <c r="F21" i="12"/>
  <c r="K14" i="13"/>
  <c r="K15" i="13"/>
  <c r="S16" i="20"/>
  <c r="T16" i="20" s="1"/>
  <c r="G17" i="20"/>
  <c r="O17" i="20" s="1"/>
  <c r="H17" i="6"/>
  <c r="G18" i="20"/>
  <c r="P17" i="20"/>
  <c r="P18" i="20"/>
  <c r="C16" i="13"/>
  <c r="C19" i="20"/>
  <c r="B18" i="19"/>
  <c r="C18" i="6"/>
  <c r="G18" i="6" s="1"/>
  <c r="E22" i="12" l="1"/>
  <c r="F22" i="12" s="1"/>
  <c r="K16" i="13"/>
  <c r="S17" i="20"/>
  <c r="T17" i="20" s="1"/>
  <c r="S18" i="20"/>
  <c r="T18" i="20" s="1"/>
  <c r="F19" i="20"/>
  <c r="G19" i="20" s="1"/>
  <c r="O19" i="20" s="1"/>
  <c r="H18" i="6"/>
  <c r="O18" i="20"/>
  <c r="P19" i="20"/>
  <c r="C17" i="13"/>
  <c r="C20" i="20"/>
  <c r="F20" i="20" s="1"/>
  <c r="B19" i="19"/>
  <c r="C19" i="6"/>
  <c r="G19" i="6" s="1"/>
  <c r="E23" i="12" l="1"/>
  <c r="F23" i="12" s="1"/>
  <c r="K17" i="13"/>
  <c r="S19" i="20"/>
  <c r="T19" i="20" s="1"/>
  <c r="G20" i="20"/>
  <c r="H19" i="6"/>
  <c r="P20" i="20"/>
  <c r="C18" i="13"/>
  <c r="C21" i="20"/>
  <c r="B20" i="19"/>
  <c r="C20" i="6"/>
  <c r="G20" i="6" s="1"/>
  <c r="E24" i="12" l="1"/>
  <c r="F24" i="12"/>
  <c r="K18" i="13"/>
  <c r="F21" i="20"/>
  <c r="G21" i="20" s="1"/>
  <c r="O21" i="20" s="1"/>
  <c r="S20" i="20"/>
  <c r="T20" i="20" s="1"/>
  <c r="H20" i="6"/>
  <c r="O20" i="20"/>
  <c r="P21" i="20"/>
  <c r="C19" i="13"/>
  <c r="C22" i="20"/>
  <c r="B21" i="19"/>
  <c r="C21" i="6"/>
  <c r="E25" i="12" l="1"/>
  <c r="F25" i="12" s="1"/>
  <c r="K19" i="13"/>
  <c r="S21" i="20"/>
  <c r="T21" i="20" s="1"/>
  <c r="F22" i="20"/>
  <c r="G22" i="20" s="1"/>
  <c r="O22" i="20" s="1"/>
  <c r="G21" i="6"/>
  <c r="H21" i="6" s="1"/>
  <c r="P22" i="20"/>
  <c r="C20" i="13"/>
  <c r="C23" i="20"/>
  <c r="B22" i="19"/>
  <c r="C22" i="6"/>
  <c r="E26" i="12" l="1"/>
  <c r="F26" i="12"/>
  <c r="K20" i="13"/>
  <c r="F23" i="20"/>
  <c r="G23" i="20" s="1"/>
  <c r="O23" i="20" s="1"/>
  <c r="S22" i="20"/>
  <c r="T22" i="20" s="1"/>
  <c r="G22" i="6"/>
  <c r="H22" i="6" s="1"/>
  <c r="P23" i="20"/>
  <c r="C21" i="13"/>
  <c r="C24" i="20"/>
  <c r="B23" i="19"/>
  <c r="C23" i="6"/>
  <c r="E27" i="12" l="1"/>
  <c r="F27" i="12" s="1"/>
  <c r="K21" i="13"/>
  <c r="F24" i="20"/>
  <c r="G24" i="20" s="1"/>
  <c r="O24" i="20" s="1"/>
  <c r="S23" i="20"/>
  <c r="T23" i="20" s="1"/>
  <c r="G23" i="6"/>
  <c r="H23" i="6" s="1"/>
  <c r="P24" i="20"/>
  <c r="C22" i="13"/>
  <c r="C25" i="20"/>
  <c r="B24" i="19"/>
  <c r="C24" i="6"/>
  <c r="E28" i="12" l="1"/>
  <c r="F28" i="12" s="1"/>
  <c r="K22" i="13"/>
  <c r="F25" i="20"/>
  <c r="G25" i="20" s="1"/>
  <c r="O25" i="20" s="1"/>
  <c r="S24" i="20"/>
  <c r="T24" i="20" s="1"/>
  <c r="G24" i="6"/>
  <c r="H24" i="6" s="1"/>
  <c r="P25" i="20"/>
  <c r="C23" i="13"/>
  <c r="C26" i="20"/>
  <c r="B25" i="19"/>
  <c r="C25" i="6"/>
  <c r="E29" i="12" l="1"/>
  <c r="F29" i="12" s="1"/>
  <c r="K23" i="13"/>
  <c r="F26" i="20"/>
  <c r="G26" i="20" s="1"/>
  <c r="O26" i="20" s="1"/>
  <c r="S25" i="20"/>
  <c r="T25" i="20" s="1"/>
  <c r="G25" i="6"/>
  <c r="H25" i="6" s="1"/>
  <c r="P26" i="20"/>
  <c r="C24" i="13"/>
  <c r="C27" i="20"/>
  <c r="B26" i="19"/>
  <c r="C26" i="6"/>
  <c r="E30" i="12" l="1"/>
  <c r="F30" i="12" s="1"/>
  <c r="K24" i="13"/>
  <c r="S26" i="20"/>
  <c r="T26" i="20" s="1"/>
  <c r="F27" i="20"/>
  <c r="G27" i="20" s="1"/>
  <c r="O27" i="20" s="1"/>
  <c r="G26" i="6"/>
  <c r="H26" i="6" s="1"/>
  <c r="P27" i="20"/>
  <c r="C25" i="13"/>
  <c r="C28" i="20"/>
  <c r="B27" i="19"/>
  <c r="C27" i="6"/>
  <c r="E31" i="12" l="1"/>
  <c r="F31" i="12" s="1"/>
  <c r="K25" i="13"/>
  <c r="F28" i="20"/>
  <c r="G28" i="20" s="1"/>
  <c r="O28" i="20" s="1"/>
  <c r="S27" i="20"/>
  <c r="T27" i="20" s="1"/>
  <c r="G27" i="6"/>
  <c r="H27" i="6" s="1"/>
  <c r="P28" i="20"/>
  <c r="C26" i="13"/>
  <c r="C29" i="20"/>
  <c r="B28" i="19"/>
  <c r="C28" i="6"/>
  <c r="E32" i="12" l="1"/>
  <c r="F32" i="12" s="1"/>
  <c r="K26" i="13"/>
  <c r="S28" i="20"/>
  <c r="T28" i="20" s="1"/>
  <c r="F29" i="20"/>
  <c r="G29" i="20" s="1"/>
  <c r="O29" i="20" s="1"/>
  <c r="G28" i="6"/>
  <c r="H28" i="6" s="1"/>
  <c r="P29" i="20"/>
  <c r="C27" i="13"/>
  <c r="C30" i="20"/>
  <c r="B29" i="19"/>
  <c r="C29" i="6"/>
  <c r="E33" i="12" l="1"/>
  <c r="F33" i="12" s="1"/>
  <c r="K27" i="13"/>
  <c r="F30" i="20"/>
  <c r="G30" i="20" s="1"/>
  <c r="O30" i="20" s="1"/>
  <c r="S29" i="20"/>
  <c r="T29" i="20" s="1"/>
  <c r="G29" i="6"/>
  <c r="H29" i="6" s="1"/>
  <c r="P30" i="20"/>
  <c r="C28" i="13"/>
  <c r="C31" i="20"/>
  <c r="B30" i="19"/>
  <c r="C30" i="6"/>
  <c r="G30" i="6" s="1"/>
  <c r="H30" i="6" s="1"/>
  <c r="E34" i="12" l="1"/>
  <c r="F34" i="12" s="1"/>
  <c r="K28" i="13"/>
  <c r="F31" i="20"/>
  <c r="G31" i="20" s="1"/>
  <c r="O31" i="20" s="1"/>
  <c r="S30" i="20"/>
  <c r="T30" i="20" s="1"/>
  <c r="P31" i="20"/>
  <c r="C29" i="13"/>
  <c r="C32" i="20"/>
  <c r="B31" i="19"/>
  <c r="C31" i="6"/>
  <c r="G31" i="6" s="1"/>
  <c r="H31" i="6" s="1"/>
  <c r="E35" i="12" l="1"/>
  <c r="F35" i="12"/>
  <c r="K29" i="13"/>
  <c r="F32" i="20"/>
  <c r="G32" i="20" s="1"/>
  <c r="O32" i="20" s="1"/>
  <c r="S31" i="20"/>
  <c r="T31" i="20" s="1"/>
  <c r="P32" i="20"/>
  <c r="C30" i="13"/>
  <c r="C33" i="20"/>
  <c r="B32" i="19"/>
  <c r="C32" i="6"/>
  <c r="G32" i="6" s="1"/>
  <c r="H32" i="6" s="1"/>
  <c r="E36" i="12" l="1"/>
  <c r="F36" i="12" s="1"/>
  <c r="K30" i="13"/>
  <c r="F33" i="20"/>
  <c r="G33" i="20" s="1"/>
  <c r="O33" i="20" s="1"/>
  <c r="S32" i="20"/>
  <c r="T32" i="20" s="1"/>
  <c r="P33" i="20"/>
  <c r="C31" i="13"/>
  <c r="C34" i="20"/>
  <c r="B33" i="19"/>
  <c r="C33" i="6"/>
  <c r="G33" i="6" s="1"/>
  <c r="H33" i="6" s="1"/>
  <c r="E37" i="12" l="1"/>
  <c r="F37" i="12"/>
  <c r="K31" i="13"/>
  <c r="F34" i="20"/>
  <c r="G34" i="20" s="1"/>
  <c r="O34" i="20" s="1"/>
  <c r="S33" i="20"/>
  <c r="T33" i="20" s="1"/>
  <c r="P34" i="20"/>
  <c r="C32" i="13"/>
  <c r="C35" i="20"/>
  <c r="F35" i="20" s="1"/>
  <c r="G35" i="20" s="1"/>
  <c r="O35" i="20" s="1"/>
  <c r="B34" i="19"/>
  <c r="C34" i="6"/>
  <c r="G34" i="6" s="1"/>
  <c r="H34" i="6" s="1"/>
  <c r="E38" i="12" l="1"/>
  <c r="F38" i="12"/>
  <c r="K32" i="13"/>
  <c r="S34" i="20"/>
  <c r="T34" i="20" s="1"/>
  <c r="P35" i="20"/>
  <c r="S35" i="20" s="1"/>
  <c r="C33" i="13"/>
  <c r="C36" i="20"/>
  <c r="F36" i="20" s="1"/>
  <c r="G36" i="20" s="1"/>
  <c r="O36" i="20" s="1"/>
  <c r="B35" i="19"/>
  <c r="C35" i="6"/>
  <c r="G35" i="6" s="1"/>
  <c r="H35" i="6" s="1"/>
  <c r="E39" i="12" l="1"/>
  <c r="F39" i="12" s="1"/>
  <c r="K33" i="13"/>
  <c r="T35" i="20"/>
  <c r="P36" i="20"/>
  <c r="C34" i="13"/>
  <c r="C37" i="20"/>
  <c r="F37" i="20" s="1"/>
  <c r="G37" i="20" s="1"/>
  <c r="O37" i="20" s="1"/>
  <c r="B36" i="19"/>
  <c r="C36" i="6"/>
  <c r="G36" i="6" s="1"/>
  <c r="H36" i="6" s="1"/>
  <c r="E40" i="12" l="1"/>
  <c r="F40" i="12" s="1"/>
  <c r="K34" i="13"/>
  <c r="S36" i="20"/>
  <c r="T36" i="20" s="1"/>
  <c r="P37" i="20"/>
  <c r="C35" i="13"/>
  <c r="C38" i="20"/>
  <c r="F38" i="20" s="1"/>
  <c r="G38" i="20" s="1"/>
  <c r="O38" i="20" s="1"/>
  <c r="B37" i="19"/>
  <c r="C37" i="6"/>
  <c r="G37" i="6" s="1"/>
  <c r="H37" i="6" s="1"/>
  <c r="K35" i="13" l="1"/>
  <c r="S37" i="20"/>
  <c r="T37" i="20" s="1"/>
  <c r="P38" i="20"/>
  <c r="C36" i="13"/>
  <c r="C39" i="20"/>
  <c r="F39" i="20" s="1"/>
  <c r="C40" i="20"/>
  <c r="C38" i="6"/>
  <c r="G38" i="6" s="1"/>
  <c r="H38" i="6" s="1"/>
  <c r="K36" i="13" l="1"/>
  <c r="G39" i="20"/>
  <c r="O39" i="20" s="1"/>
  <c r="S38" i="20"/>
  <c r="T38" i="20" s="1"/>
  <c r="P40" i="20"/>
  <c r="S40" i="20" s="1"/>
  <c r="T40" i="20" s="1"/>
  <c r="F40" i="20"/>
  <c r="G40" i="20" s="1"/>
  <c r="O40" i="20" s="1"/>
  <c r="Y40" i="20" s="1"/>
  <c r="P39" i="20"/>
  <c r="S39" i="20" s="1"/>
  <c r="C37" i="13"/>
  <c r="C41" i="20"/>
  <c r="C39" i="6"/>
  <c r="G39" i="6" s="1"/>
  <c r="H39" i="6" s="1"/>
  <c r="J39" i="6" s="1"/>
  <c r="K37" i="13" l="1"/>
  <c r="P41" i="20"/>
  <c r="S41" i="20" s="1"/>
  <c r="T41" i="20" s="1"/>
  <c r="F41" i="20"/>
  <c r="G41" i="20" s="1"/>
  <c r="O41" i="20" s="1"/>
  <c r="Y41" i="20" s="1"/>
  <c r="T39" i="20"/>
  <c r="T49" i="20" s="1"/>
  <c r="S49" i="20"/>
  <c r="F24" i="14" s="1"/>
  <c r="F21" i="14" s="1"/>
  <c r="F31" i="14" s="1"/>
  <c r="C38" i="13"/>
  <c r="C42" i="20"/>
  <c r="C40" i="6"/>
  <c r="G40" i="6" s="1"/>
  <c r="H40" i="6" s="1"/>
  <c r="J40" i="6" s="1"/>
  <c r="K38" i="13" l="1"/>
  <c r="P42" i="20"/>
  <c r="S42" i="20" s="1"/>
  <c r="T42" i="20" s="1"/>
  <c r="F42" i="20"/>
  <c r="G42" i="20" s="1"/>
  <c r="O42" i="20" s="1"/>
  <c r="Y42" i="20" s="1"/>
  <c r="C39" i="13"/>
  <c r="C43" i="20"/>
  <c r="C41" i="6"/>
  <c r="G41" i="6" s="1"/>
  <c r="H41" i="6" s="1"/>
  <c r="J41" i="6" s="1"/>
  <c r="K39" i="13" l="1"/>
  <c r="P43" i="20"/>
  <c r="S43" i="20" s="1"/>
  <c r="T43" i="20" s="1"/>
  <c r="F43" i="20"/>
  <c r="G43" i="20" s="1"/>
  <c r="O43" i="20" s="1"/>
  <c r="Y43" i="20" s="1"/>
  <c r="C40" i="13"/>
  <c r="C44" i="20"/>
  <c r="C42" i="6"/>
  <c r="G42" i="6" s="1"/>
  <c r="H42" i="6" s="1"/>
  <c r="J42" i="6" s="1"/>
  <c r="K40" i="13" l="1"/>
  <c r="P44" i="20"/>
  <c r="S44" i="20" s="1"/>
  <c r="T44" i="20" s="1"/>
  <c r="F44" i="20"/>
  <c r="G44" i="20" s="1"/>
  <c r="O44" i="20" s="1"/>
  <c r="Y44" i="20" s="1"/>
  <c r="C41" i="13"/>
  <c r="C45" i="20"/>
  <c r="C43" i="6"/>
  <c r="G43" i="6" s="1"/>
  <c r="H43" i="6" s="1"/>
  <c r="J43" i="6" s="1"/>
  <c r="K41" i="13" l="1"/>
  <c r="P45" i="20"/>
  <c r="S45" i="20" s="1"/>
  <c r="T45" i="20" s="1"/>
  <c r="F45" i="20"/>
  <c r="G45" i="20" s="1"/>
  <c r="O45" i="20" s="1"/>
  <c r="Y45" i="20" s="1"/>
  <c r="C42" i="13"/>
  <c r="C46" i="20"/>
  <c r="C44" i="6"/>
  <c r="G44" i="6" s="1"/>
  <c r="H44" i="6" s="1"/>
  <c r="J44" i="6" s="1"/>
  <c r="K42" i="13" l="1"/>
  <c r="P46" i="20"/>
  <c r="S46" i="20" s="1"/>
  <c r="T46" i="20" s="1"/>
  <c r="F46" i="20"/>
  <c r="G46" i="20" s="1"/>
  <c r="O46" i="20" s="1"/>
  <c r="Y46" i="20" s="1"/>
  <c r="C43" i="13"/>
  <c r="C47" i="20"/>
  <c r="C45" i="6"/>
  <c r="G45" i="6" s="1"/>
  <c r="H45" i="6" s="1"/>
  <c r="J45" i="6" s="1"/>
  <c r="K43" i="13" l="1"/>
  <c r="P47" i="20"/>
  <c r="S47" i="20" s="1"/>
  <c r="T47" i="20" s="1"/>
  <c r="F47" i="20"/>
  <c r="G47" i="20" s="1"/>
  <c r="O47" i="20" s="1"/>
  <c r="Y47" i="20" s="1"/>
  <c r="C44" i="13"/>
  <c r="C48" i="20"/>
  <c r="C46" i="6"/>
  <c r="G46" i="6" s="1"/>
  <c r="H46" i="6" s="1"/>
  <c r="J46" i="6" s="1"/>
  <c r="K44" i="13" l="1"/>
  <c r="P48" i="20"/>
  <c r="S48" i="20" s="1"/>
  <c r="T48" i="20" s="1"/>
  <c r="F48" i="20"/>
  <c r="C45" i="13"/>
  <c r="C47" i="6"/>
  <c r="G47" i="6" s="1"/>
  <c r="H47" i="6" s="1"/>
  <c r="J47" i="6" s="1"/>
  <c r="K45" i="13" l="1"/>
  <c r="G48" i="20"/>
  <c r="F49" i="20"/>
  <c r="E24" i="14" s="1"/>
  <c r="C46" i="13"/>
  <c r="C48" i="6"/>
  <c r="K46" i="13" l="1"/>
  <c r="O48" i="20"/>
  <c r="G49" i="20"/>
  <c r="C47" i="13"/>
  <c r="K47" i="13" l="1"/>
  <c r="Y48" i="20"/>
  <c r="O49" i="20"/>
  <c r="C48" i="13"/>
  <c r="K48" i="13" l="1"/>
  <c r="C49" i="13"/>
  <c r="K49" i="13" l="1"/>
  <c r="C50" i="13"/>
  <c r="K50" i="13" l="1"/>
  <c r="C51" i="13"/>
  <c r="K51" i="13" l="1"/>
  <c r="C52" i="13"/>
  <c r="K52" i="13" l="1"/>
  <c r="C53" i="13"/>
  <c r="K53" i="13" l="1"/>
  <c r="C54" i="13"/>
  <c r="K54" i="13" l="1"/>
  <c r="C55" i="13"/>
  <c r="K55" i="13" l="1"/>
  <c r="C56" i="13"/>
  <c r="D38" i="9"/>
  <c r="E33" i="13" s="1"/>
  <c r="C38" i="9"/>
  <c r="D37" i="9"/>
  <c r="E32" i="13" s="1"/>
  <c r="C37" i="9"/>
  <c r="D36" i="9"/>
  <c r="E31" i="13" s="1"/>
  <c r="C36" i="9"/>
  <c r="D35" i="9"/>
  <c r="E30" i="13" s="1"/>
  <c r="C35" i="9"/>
  <c r="D34" i="9"/>
  <c r="E29" i="13" s="1"/>
  <c r="C34" i="9"/>
  <c r="D33" i="9"/>
  <c r="E28" i="13" s="1"/>
  <c r="C33" i="9"/>
  <c r="D32" i="9"/>
  <c r="E27" i="13" s="1"/>
  <c r="C32" i="9"/>
  <c r="D31" i="9"/>
  <c r="E26" i="13" s="1"/>
  <c r="C31" i="9"/>
  <c r="D30" i="9"/>
  <c r="E25" i="13" s="1"/>
  <c r="C30" i="9"/>
  <c r="D29" i="9"/>
  <c r="E24" i="13" s="1"/>
  <c r="C29" i="9"/>
  <c r="D28" i="9"/>
  <c r="E23" i="13" s="1"/>
  <c r="C28" i="9"/>
  <c r="D27" i="9"/>
  <c r="E22" i="13" s="1"/>
  <c r="C27" i="9"/>
  <c r="D26" i="9"/>
  <c r="E21" i="13" s="1"/>
  <c r="C26" i="9"/>
  <c r="D25" i="9"/>
  <c r="E20" i="13" s="1"/>
  <c r="C25" i="9"/>
  <c r="D24" i="9"/>
  <c r="E19" i="13" s="1"/>
  <c r="C24" i="9"/>
  <c r="D23" i="9"/>
  <c r="E18" i="13" s="1"/>
  <c r="C23" i="9"/>
  <c r="D22" i="9"/>
  <c r="E17" i="13" s="1"/>
  <c r="C22" i="9"/>
  <c r="D21" i="9"/>
  <c r="E16" i="13" s="1"/>
  <c r="C21" i="9"/>
  <c r="D20" i="9"/>
  <c r="E15" i="13" s="1"/>
  <c r="C20" i="9"/>
  <c r="D19" i="9"/>
  <c r="E14" i="13" s="1"/>
  <c r="C19" i="9"/>
  <c r="D18" i="9"/>
  <c r="E13" i="13" s="1"/>
  <c r="C18" i="9"/>
  <c r="D17" i="9"/>
  <c r="E12" i="13" s="1"/>
  <c r="C17" i="9"/>
  <c r="D16" i="9"/>
  <c r="E11" i="13" s="1"/>
  <c r="C16" i="9"/>
  <c r="D15" i="9"/>
  <c r="E10" i="13" s="1"/>
  <c r="C15" i="9"/>
  <c r="D14" i="9"/>
  <c r="E9" i="13" s="1"/>
  <c r="C14" i="9"/>
  <c r="D13" i="9"/>
  <c r="E8" i="13" s="1"/>
  <c r="C13" i="9"/>
  <c r="D12" i="9"/>
  <c r="E7" i="13" s="1"/>
  <c r="C12" i="9"/>
  <c r="D11" i="9"/>
  <c r="E6" i="13" s="1"/>
  <c r="C11" i="9"/>
  <c r="D10" i="9"/>
  <c r="E5" i="13" s="1"/>
  <c r="C10" i="9"/>
  <c r="K56" i="13" l="1"/>
  <c r="I28" i="9"/>
  <c r="D23" i="13"/>
  <c r="D11" i="13"/>
  <c r="I16" i="9"/>
  <c r="D19" i="13"/>
  <c r="I24" i="9"/>
  <c r="I17" i="9"/>
  <c r="D12" i="13"/>
  <c r="I29" i="9"/>
  <c r="D24" i="13"/>
  <c r="I10" i="9"/>
  <c r="D5" i="13"/>
  <c r="D9" i="13"/>
  <c r="I14" i="9"/>
  <c r="I18" i="9"/>
  <c r="D13" i="13"/>
  <c r="D17" i="13"/>
  <c r="I22" i="9"/>
  <c r="D21" i="13"/>
  <c r="I26" i="9"/>
  <c r="I30" i="9"/>
  <c r="D25" i="13"/>
  <c r="D29" i="13"/>
  <c r="I34" i="9"/>
  <c r="D33" i="13"/>
  <c r="I38" i="9"/>
  <c r="I12" i="9"/>
  <c r="D7" i="13"/>
  <c r="D27" i="13"/>
  <c r="I32" i="9"/>
  <c r="D8" i="13"/>
  <c r="I13" i="9"/>
  <c r="D20" i="13"/>
  <c r="I25" i="9"/>
  <c r="F37" i="9"/>
  <c r="H32" i="13" s="1"/>
  <c r="I37" i="9"/>
  <c r="D32" i="13"/>
  <c r="D15" i="13"/>
  <c r="I20" i="9"/>
  <c r="I36" i="9"/>
  <c r="D31" i="13"/>
  <c r="I21" i="9"/>
  <c r="D16" i="13"/>
  <c r="F33" i="9"/>
  <c r="H28" i="13" s="1"/>
  <c r="D28" i="13"/>
  <c r="I33" i="9"/>
  <c r="I11" i="9"/>
  <c r="J6" i="13" s="1"/>
  <c r="D6" i="13"/>
  <c r="D10" i="13"/>
  <c r="I15" i="9"/>
  <c r="D14" i="13"/>
  <c r="I19" i="9"/>
  <c r="D18" i="13"/>
  <c r="I23" i="9"/>
  <c r="D22" i="13"/>
  <c r="I27" i="9"/>
  <c r="D26" i="13"/>
  <c r="I31" i="9"/>
  <c r="I35" i="9"/>
  <c r="D30" i="13"/>
  <c r="F24" i="9"/>
  <c r="H19" i="13" s="1"/>
  <c r="F16" i="9"/>
  <c r="H11" i="13" s="1"/>
  <c r="F10" i="9"/>
  <c r="H5" i="13" s="1"/>
  <c r="F14" i="9"/>
  <c r="H9" i="13" s="1"/>
  <c r="F18" i="9"/>
  <c r="H13" i="13" s="1"/>
  <c r="F22" i="9"/>
  <c r="H17" i="13" s="1"/>
  <c r="F26" i="9"/>
  <c r="H21" i="13" s="1"/>
  <c r="F30" i="9"/>
  <c r="H25" i="13" s="1"/>
  <c r="F34" i="9"/>
  <c r="H29" i="13" s="1"/>
  <c r="F38" i="9"/>
  <c r="H33" i="13" s="1"/>
  <c r="F12" i="9"/>
  <c r="H7" i="13" s="1"/>
  <c r="F32" i="9"/>
  <c r="H27" i="13" s="1"/>
  <c r="F13" i="9"/>
  <c r="H8" i="13" s="1"/>
  <c r="F17" i="9"/>
  <c r="H12" i="13" s="1"/>
  <c r="F21" i="9"/>
  <c r="H16" i="13" s="1"/>
  <c r="F25" i="9"/>
  <c r="H20" i="13" s="1"/>
  <c r="F29" i="9"/>
  <c r="H24" i="13" s="1"/>
  <c r="F20" i="9"/>
  <c r="H15" i="13" s="1"/>
  <c r="F28" i="9"/>
  <c r="H23" i="13" s="1"/>
  <c r="F36" i="9"/>
  <c r="H31" i="13" s="1"/>
  <c r="F11" i="9"/>
  <c r="H6" i="13" s="1"/>
  <c r="F15" i="9"/>
  <c r="H10" i="13" s="1"/>
  <c r="F19" i="9"/>
  <c r="H14" i="13" s="1"/>
  <c r="F23" i="9"/>
  <c r="H18" i="13" s="1"/>
  <c r="F27" i="9"/>
  <c r="H22" i="13" s="1"/>
  <c r="F31" i="9"/>
  <c r="H26" i="13" s="1"/>
  <c r="F35" i="9"/>
  <c r="H30" i="13" s="1"/>
  <c r="C39" i="9"/>
  <c r="E23" i="19" l="1"/>
  <c r="E19" i="19"/>
  <c r="E21" i="19"/>
  <c r="E26" i="19"/>
  <c r="E29" i="19"/>
  <c r="E24" i="19"/>
  <c r="E34" i="19"/>
  <c r="E25" i="19"/>
  <c r="E17" i="19"/>
  <c r="E22" i="19"/>
  <c r="E33" i="19"/>
  <c r="E32" i="19"/>
  <c r="E31" i="19"/>
  <c r="E27" i="19"/>
  <c r="E20" i="19"/>
  <c r="E15" i="19"/>
  <c r="E18" i="19"/>
  <c r="E28" i="19"/>
  <c r="E16" i="19"/>
  <c r="E30" i="19"/>
  <c r="E10" i="19"/>
  <c r="E12" i="19"/>
  <c r="E11" i="19"/>
  <c r="E13" i="19"/>
  <c r="E14" i="19"/>
  <c r="E6" i="19"/>
  <c r="E7" i="19"/>
  <c r="E8" i="19"/>
  <c r="D34" i="13"/>
  <c r="E9" i="19"/>
  <c r="D39" i="9"/>
  <c r="E34" i="13" s="1"/>
  <c r="C40" i="9"/>
  <c r="I39" i="9" l="1"/>
  <c r="D35" i="13"/>
  <c r="F39" i="9"/>
  <c r="H34" i="13" s="1"/>
  <c r="J5" i="13"/>
  <c r="C41" i="9"/>
  <c r="D40" i="9"/>
  <c r="E35" i="13" s="1"/>
  <c r="E35" i="19" l="1"/>
  <c r="D36" i="13"/>
  <c r="I40" i="9"/>
  <c r="F40" i="9"/>
  <c r="H35" i="13" s="1"/>
  <c r="D41" i="9"/>
  <c r="E36" i="13" s="1"/>
  <c r="C42" i="9"/>
  <c r="E36" i="19" l="1"/>
  <c r="D37" i="13"/>
  <c r="I41" i="9"/>
  <c r="F41" i="9"/>
  <c r="H36" i="13" s="1"/>
  <c r="C43" i="9"/>
  <c r="D42" i="9"/>
  <c r="E37" i="13" s="1"/>
  <c r="E37" i="19" l="1"/>
  <c r="E38" i="19" s="1"/>
  <c r="D38" i="13"/>
  <c r="F42" i="9"/>
  <c r="H37" i="13" s="1"/>
  <c r="I42" i="9"/>
  <c r="C44" i="9"/>
  <c r="D43" i="9"/>
  <c r="E38" i="13" s="1"/>
  <c r="G42" i="9" l="1"/>
  <c r="D39" i="13"/>
  <c r="I43" i="9"/>
  <c r="F43" i="9"/>
  <c r="H38" i="13" s="1"/>
  <c r="C45" i="9"/>
  <c r="D44" i="9"/>
  <c r="E39" i="13" s="1"/>
  <c r="G43" i="9" l="1"/>
  <c r="D40" i="13"/>
  <c r="I44" i="9"/>
  <c r="F44" i="9"/>
  <c r="H39" i="13" s="1"/>
  <c r="D45" i="9"/>
  <c r="E40" i="13" s="1"/>
  <c r="C46" i="9"/>
  <c r="G44" i="9" l="1"/>
  <c r="D41" i="13"/>
  <c r="I45" i="9"/>
  <c r="F45" i="9"/>
  <c r="H40" i="13" s="1"/>
  <c r="C47" i="9"/>
  <c r="D46" i="9"/>
  <c r="E41" i="13" s="1"/>
  <c r="G45" i="9" l="1"/>
  <c r="I46" i="9"/>
  <c r="D42" i="13"/>
  <c r="F46" i="9"/>
  <c r="H41" i="13" s="1"/>
  <c r="D47" i="9"/>
  <c r="E42" i="13" s="1"/>
  <c r="C48" i="9"/>
  <c r="G46" i="9" l="1"/>
  <c r="D43" i="13"/>
  <c r="I47" i="9"/>
  <c r="F47" i="9"/>
  <c r="H42" i="13" s="1"/>
  <c r="C49" i="9"/>
  <c r="D48" i="9"/>
  <c r="E43" i="13" s="1"/>
  <c r="G47" i="9" l="1"/>
  <c r="D44" i="13"/>
  <c r="I48" i="9"/>
  <c r="F48" i="9"/>
  <c r="H43" i="13" s="1"/>
  <c r="D49" i="9"/>
  <c r="E44" i="13" s="1"/>
  <c r="C50" i="9"/>
  <c r="G48" i="9" l="1"/>
  <c r="D45" i="13"/>
  <c r="I49" i="9"/>
  <c r="F49" i="9"/>
  <c r="H44" i="13" s="1"/>
  <c r="C51" i="9"/>
  <c r="D50" i="9"/>
  <c r="E45" i="13" s="1"/>
  <c r="G49" i="9" l="1"/>
  <c r="D46" i="13"/>
  <c r="I50" i="9"/>
  <c r="F50" i="9"/>
  <c r="H45" i="13" s="1"/>
  <c r="D51" i="9"/>
  <c r="E46" i="13" s="1"/>
  <c r="C52" i="9"/>
  <c r="G50" i="9" l="1"/>
  <c r="D47" i="13"/>
  <c r="I51" i="9"/>
  <c r="F51" i="9"/>
  <c r="H46" i="13" s="1"/>
  <c r="C53" i="9"/>
  <c r="D52" i="9"/>
  <c r="E47" i="13" s="1"/>
  <c r="G51" i="9" l="1"/>
  <c r="I52" i="9"/>
  <c r="D48" i="13"/>
  <c r="F52" i="9"/>
  <c r="H47" i="13" s="1"/>
  <c r="D53" i="9"/>
  <c r="E48" i="13" s="1"/>
  <c r="C54" i="9"/>
  <c r="G52" i="9" l="1"/>
  <c r="I53" i="9"/>
  <c r="D49" i="13"/>
  <c r="F53" i="9"/>
  <c r="H48" i="13" s="1"/>
  <c r="D54" i="9"/>
  <c r="E49" i="13" s="1"/>
  <c r="C55" i="9"/>
  <c r="G53" i="9" l="1"/>
  <c r="D50" i="13"/>
  <c r="I54" i="9"/>
  <c r="F54" i="9"/>
  <c r="H49" i="13" s="1"/>
  <c r="C56" i="9"/>
  <c r="D55" i="9"/>
  <c r="E50" i="13" s="1"/>
  <c r="G54" i="9" l="1"/>
  <c r="I55" i="9"/>
  <c r="D51" i="13"/>
  <c r="F55" i="9"/>
  <c r="H50" i="13" s="1"/>
  <c r="D56" i="9"/>
  <c r="E51" i="13" s="1"/>
  <c r="C57" i="9"/>
  <c r="G55" i="9" l="1"/>
  <c r="I56" i="9"/>
  <c r="D52" i="13"/>
  <c r="F56" i="9"/>
  <c r="H51" i="13" s="1"/>
  <c r="C58" i="9"/>
  <c r="D57" i="9"/>
  <c r="E52" i="13" s="1"/>
  <c r="G56" i="9" l="1"/>
  <c r="D53" i="13"/>
  <c r="I57" i="9"/>
  <c r="F57" i="9"/>
  <c r="H52" i="13" s="1"/>
  <c r="C59" i="9"/>
  <c r="D58" i="9"/>
  <c r="E53" i="13" s="1"/>
  <c r="G57" i="9" l="1"/>
  <c r="D54" i="13"/>
  <c r="I58" i="9"/>
  <c r="F58" i="9"/>
  <c r="H53" i="13" s="1"/>
  <c r="D59" i="9"/>
  <c r="E54" i="13" s="1"/>
  <c r="C60" i="9"/>
  <c r="G58" i="9" l="1"/>
  <c r="D55" i="13"/>
  <c r="I59" i="9"/>
  <c r="F59" i="9"/>
  <c r="H54" i="13" s="1"/>
  <c r="C61" i="9"/>
  <c r="D60" i="9"/>
  <c r="E55" i="13" s="1"/>
  <c r="G59" i="9" l="1"/>
  <c r="D56" i="13"/>
  <c r="I60" i="9"/>
  <c r="F60" i="9"/>
  <c r="H55" i="13" s="1"/>
  <c r="C62" i="9"/>
  <c r="D57" i="13"/>
  <c r="D61" i="9"/>
  <c r="E56" i="13" s="1"/>
  <c r="G60" i="9" l="1"/>
  <c r="I61" i="9"/>
  <c r="F61" i="9"/>
  <c r="H56" i="13" s="1"/>
  <c r="D62" i="9"/>
  <c r="G61" i="9" l="1"/>
  <c r="F62" i="9"/>
  <c r="E57" i="13"/>
  <c r="H57" i="13" l="1"/>
  <c r="D48" i="6" l="1"/>
  <c r="H50" i="9" l="1"/>
  <c r="I45" i="13" s="1"/>
  <c r="H49" i="9" l="1"/>
  <c r="I44" i="13" s="1"/>
  <c r="H48" i="9" l="1"/>
  <c r="I43" i="13" s="1"/>
  <c r="H47" i="9" l="1"/>
  <c r="I42" i="13" s="1"/>
  <c r="H46" i="9" l="1"/>
  <c r="I41" i="13" s="1"/>
  <c r="H45" i="9" l="1"/>
  <c r="I40" i="13" s="1"/>
  <c r="H44" i="9" l="1"/>
  <c r="I39" i="13" s="1"/>
  <c r="H43" i="9" l="1"/>
  <c r="I38" i="13" s="1"/>
  <c r="H42" i="9" l="1"/>
  <c r="I37" i="13" s="1"/>
  <c r="W8" i="20" l="1"/>
  <c r="I6" i="19"/>
  <c r="H10" i="9"/>
  <c r="I5" i="13" s="1"/>
  <c r="L5" i="13" s="1"/>
  <c r="D6" i="19" l="1"/>
  <c r="G10" i="9" l="1"/>
  <c r="I7" i="6" s="1"/>
  <c r="J7" i="6" s="1"/>
  <c r="F6" i="19"/>
  <c r="P5" i="13" l="1"/>
  <c r="O5" i="13"/>
  <c r="H6" i="19"/>
  <c r="X8" i="20" s="1"/>
  <c r="Y8" i="20" s="1"/>
  <c r="M5" i="13"/>
  <c r="N5" i="13"/>
  <c r="Z8" i="20" l="1"/>
  <c r="K6" i="19"/>
  <c r="S5" i="13"/>
  <c r="J10" i="9" s="1"/>
  <c r="L10" i="9" l="1"/>
  <c r="M10" i="9" l="1"/>
  <c r="J37" i="13" l="1"/>
  <c r="J39" i="13"/>
  <c r="L39" i="13" s="1"/>
  <c r="J42" i="13"/>
  <c r="L42" i="13" s="1"/>
  <c r="J49" i="13"/>
  <c r="L49" i="13" s="1"/>
  <c r="J55" i="13"/>
  <c r="L55" i="13" s="1"/>
  <c r="J40" i="13"/>
  <c r="L40" i="13" s="1"/>
  <c r="J48" i="13" l="1"/>
  <c r="L48" i="13" s="1"/>
  <c r="J46" i="13"/>
  <c r="L46" i="13" s="1"/>
  <c r="J38" i="13"/>
  <c r="J44" i="13"/>
  <c r="L44" i="13" s="1"/>
  <c r="J47" i="13"/>
  <c r="L47" i="13" s="1"/>
  <c r="J43" i="13"/>
  <c r="L43" i="13" s="1"/>
  <c r="J51" i="13"/>
  <c r="L51" i="13" s="1"/>
  <c r="J52" i="13"/>
  <c r="L52" i="13" s="1"/>
  <c r="J56" i="13"/>
  <c r="L56" i="13" s="1"/>
  <c r="J50" i="13"/>
  <c r="L50" i="13" s="1"/>
  <c r="J54" i="13"/>
  <c r="L54" i="13" s="1"/>
  <c r="J41" i="13"/>
  <c r="L41" i="13" s="1"/>
  <c r="J53" i="13"/>
  <c r="L53" i="13" s="1"/>
  <c r="J45" i="13"/>
  <c r="L45" i="13" s="1"/>
  <c r="D58" i="6" l="1"/>
  <c r="G11" i="14" s="1"/>
  <c r="I7" i="19"/>
  <c r="I8" i="19"/>
  <c r="G14" i="14" l="1"/>
  <c r="G23" i="14" s="1"/>
  <c r="V10" i="20"/>
  <c r="J8" i="19" s="1"/>
  <c r="G58" i="6"/>
  <c r="G24" i="14" s="1"/>
  <c r="I24" i="14" s="1"/>
  <c r="H11" i="9"/>
  <c r="I6" i="13" s="1"/>
  <c r="L6" i="13" s="1"/>
  <c r="E58" i="6"/>
  <c r="V11" i="20"/>
  <c r="V32" i="20"/>
  <c r="J30" i="19" s="1"/>
  <c r="V28" i="20"/>
  <c r="J26" i="19" s="1"/>
  <c r="V24" i="20"/>
  <c r="J22" i="19" s="1"/>
  <c r="V20" i="20"/>
  <c r="J18" i="19" s="1"/>
  <c r="V16" i="20"/>
  <c r="J14" i="19" s="1"/>
  <c r="V36" i="20"/>
  <c r="J34" i="19" s="1"/>
  <c r="V39" i="20"/>
  <c r="J37" i="19" s="1"/>
  <c r="V35" i="20"/>
  <c r="J33" i="19" s="1"/>
  <c r="V31" i="20"/>
  <c r="J29" i="19" s="1"/>
  <c r="V27" i="20"/>
  <c r="J25" i="19" s="1"/>
  <c r="V23" i="20"/>
  <c r="J21" i="19" s="1"/>
  <c r="V19" i="20"/>
  <c r="J17" i="19" s="1"/>
  <c r="V15" i="20"/>
  <c r="J13" i="19" s="1"/>
  <c r="V14" i="20"/>
  <c r="J12" i="19" s="1"/>
  <c r="V13" i="20"/>
  <c r="J11" i="19" s="1"/>
  <c r="V37" i="20"/>
  <c r="J35" i="19" s="1"/>
  <c r="V33" i="20"/>
  <c r="J31" i="19" s="1"/>
  <c r="V29" i="20"/>
  <c r="J27" i="19" s="1"/>
  <c r="V25" i="20"/>
  <c r="J23" i="19" s="1"/>
  <c r="V21" i="20"/>
  <c r="J19" i="19" s="1"/>
  <c r="V17" i="20"/>
  <c r="J15" i="19" s="1"/>
  <c r="V9" i="20"/>
  <c r="V38" i="20"/>
  <c r="J36" i="19" s="1"/>
  <c r="V34" i="20"/>
  <c r="J32" i="19" s="1"/>
  <c r="V30" i="20"/>
  <c r="J28" i="19" s="1"/>
  <c r="V26" i="20"/>
  <c r="J24" i="19" s="1"/>
  <c r="V22" i="20"/>
  <c r="J20" i="19" s="1"/>
  <c r="V18" i="20"/>
  <c r="J16" i="19" s="1"/>
  <c r="F58" i="6"/>
  <c r="V12" i="20"/>
  <c r="J10" i="19" s="1"/>
  <c r="I9" i="19"/>
  <c r="V49" i="20" l="1"/>
  <c r="W10" i="20"/>
  <c r="D8" i="19"/>
  <c r="G12" i="9"/>
  <c r="I9" i="6" s="1"/>
  <c r="J9" i="6" s="1"/>
  <c r="G26" i="14"/>
  <c r="G18" i="14"/>
  <c r="W9" i="20"/>
  <c r="J7" i="19"/>
  <c r="W11" i="20"/>
  <c r="J9" i="19"/>
  <c r="H15" i="9"/>
  <c r="H36" i="9"/>
  <c r="I31" i="13" s="1"/>
  <c r="H34" i="9"/>
  <c r="H58" i="6"/>
  <c r="H14" i="9"/>
  <c r="I9" i="13" s="1"/>
  <c r="H21" i="9"/>
  <c r="I16" i="13" s="1"/>
  <c r="H28" i="9"/>
  <c r="I23" i="13" s="1"/>
  <c r="H17" i="9"/>
  <c r="I12" i="13" s="1"/>
  <c r="H12" i="9"/>
  <c r="I7" i="13" s="1"/>
  <c r="H37" i="9"/>
  <c r="I32" i="13" s="1"/>
  <c r="H29" i="9"/>
  <c r="I24" i="13" s="1"/>
  <c r="H24" i="9"/>
  <c r="I19" i="13" s="1"/>
  <c r="H25" i="9"/>
  <c r="I20" i="13" s="1"/>
  <c r="H16" i="9"/>
  <c r="I11" i="13" s="1"/>
  <c r="H32" i="9"/>
  <c r="I27" i="13" s="1"/>
  <c r="H13" i="9"/>
  <c r="I8" i="13" s="1"/>
  <c r="H33" i="9"/>
  <c r="I28" i="13" s="1"/>
  <c r="H40" i="9"/>
  <c r="I35" i="13" s="1"/>
  <c r="H41" i="9"/>
  <c r="I36" i="13" s="1"/>
  <c r="J29" i="13" l="1"/>
  <c r="I29" i="13"/>
  <c r="J10" i="13"/>
  <c r="I10" i="13"/>
  <c r="G21" i="14"/>
  <c r="D9" i="19"/>
  <c r="G13" i="9"/>
  <c r="I10" i="6" s="1"/>
  <c r="J10" i="6" s="1"/>
  <c r="F8" i="19"/>
  <c r="J9" i="13"/>
  <c r="J38" i="19"/>
  <c r="H26" i="9"/>
  <c r="I21" i="13" s="1"/>
  <c r="H20" i="9"/>
  <c r="I15" i="13" s="1"/>
  <c r="J12" i="13"/>
  <c r="H22" i="9"/>
  <c r="I17" i="13" s="1"/>
  <c r="H18" i="9"/>
  <c r="I13" i="13" s="1"/>
  <c r="H30" i="9"/>
  <c r="I25" i="13" s="1"/>
  <c r="H39" i="9"/>
  <c r="I34" i="13" s="1"/>
  <c r="H31" i="9"/>
  <c r="I26" i="13" s="1"/>
  <c r="H23" i="9"/>
  <c r="I18" i="13" s="1"/>
  <c r="H35" i="9"/>
  <c r="I30" i="13" s="1"/>
  <c r="H27" i="9"/>
  <c r="I22" i="13" s="1"/>
  <c r="H38" i="9"/>
  <c r="I33" i="13" s="1"/>
  <c r="J8" i="13"/>
  <c r="L8" i="13" s="1"/>
  <c r="J24" i="13"/>
  <c r="J36" i="13"/>
  <c r="J11" i="13"/>
  <c r="J20" i="13"/>
  <c r="J23" i="13"/>
  <c r="J32" i="13"/>
  <c r="H19" i="9"/>
  <c r="I14" i="13" s="1"/>
  <c r="J16" i="13"/>
  <c r="J35" i="13"/>
  <c r="J31" i="13"/>
  <c r="J27" i="13"/>
  <c r="J28" i="13"/>
  <c r="J19" i="13"/>
  <c r="E21" i="14" l="1"/>
  <c r="G31" i="14"/>
  <c r="I57" i="13"/>
  <c r="H8" i="19"/>
  <c r="D7" i="19"/>
  <c r="G11" i="9"/>
  <c r="I8" i="6" s="1"/>
  <c r="J8" i="6" s="1"/>
  <c r="F9" i="19"/>
  <c r="H62" i="9"/>
  <c r="J15" i="13"/>
  <c r="J21" i="13"/>
  <c r="J30" i="13"/>
  <c r="J34" i="13"/>
  <c r="J13" i="13"/>
  <c r="J22" i="13"/>
  <c r="J25" i="13"/>
  <c r="J18" i="13"/>
  <c r="J33" i="13"/>
  <c r="J26" i="13"/>
  <c r="J17" i="13"/>
  <c r="J14" i="13"/>
  <c r="I62" i="9"/>
  <c r="J7" i="13"/>
  <c r="L7" i="13" s="1"/>
  <c r="F7" i="19" l="1"/>
  <c r="X10" i="20"/>
  <c r="Y10" i="20" s="1"/>
  <c r="K8" i="19"/>
  <c r="H9" i="19"/>
  <c r="J57" i="13"/>
  <c r="F9" i="13" l="1"/>
  <c r="L9" i="13" s="1"/>
  <c r="X11" i="20"/>
  <c r="Y11" i="20" s="1"/>
  <c r="K9" i="19"/>
  <c r="Z10" i="20"/>
  <c r="H7" i="19"/>
  <c r="F10" i="13" l="1"/>
  <c r="L10" i="13" s="1"/>
  <c r="P8" i="13"/>
  <c r="O8" i="13"/>
  <c r="P6" i="13"/>
  <c r="O6" i="13"/>
  <c r="M6" i="13"/>
  <c r="Q6" i="13"/>
  <c r="N6" i="13"/>
  <c r="X9" i="20"/>
  <c r="Y9" i="20" s="1"/>
  <c r="K7" i="19"/>
  <c r="Z11" i="20"/>
  <c r="F11" i="13" l="1"/>
  <c r="L11" i="13" s="1"/>
  <c r="Z9" i="20"/>
  <c r="F12" i="13" l="1"/>
  <c r="L12" i="13" s="1"/>
  <c r="P7" i="13"/>
  <c r="O7" i="13"/>
  <c r="N7" i="13"/>
  <c r="N8" i="13" s="1"/>
  <c r="M7" i="13"/>
  <c r="M8" i="13" l="1"/>
  <c r="F13" i="13" l="1"/>
  <c r="L13" i="13" s="1"/>
  <c r="F14" i="13" l="1"/>
  <c r="L14" i="13" s="1"/>
  <c r="F15" i="13" l="1"/>
  <c r="L15" i="13" s="1"/>
  <c r="F16" i="13" l="1"/>
  <c r="L16" i="13" s="1"/>
  <c r="F17" i="13" l="1"/>
  <c r="L17" i="13" s="1"/>
  <c r="F18" i="13" l="1"/>
  <c r="L18" i="13" s="1"/>
  <c r="F19" i="13" l="1"/>
  <c r="L19" i="13" s="1"/>
  <c r="F20" i="13" l="1"/>
  <c r="L20" i="13" s="1"/>
  <c r="F21" i="13" l="1"/>
  <c r="L21" i="13" s="1"/>
  <c r="F22" i="13" l="1"/>
  <c r="L22" i="13" s="1"/>
  <c r="F23" i="13" l="1"/>
  <c r="L23" i="13" s="1"/>
  <c r="F24" i="13" l="1"/>
  <c r="L24" i="13" s="1"/>
  <c r="F25" i="13" l="1"/>
  <c r="L25" i="13" s="1"/>
  <c r="F26" i="13" l="1"/>
  <c r="L26" i="13" s="1"/>
  <c r="F27" i="13" l="1"/>
  <c r="L27" i="13" s="1"/>
  <c r="F28" i="13" l="1"/>
  <c r="L28" i="13" s="1"/>
  <c r="F29" i="13" l="1"/>
  <c r="L29" i="13" s="1"/>
  <c r="F30" i="13" l="1"/>
  <c r="L30" i="13" s="1"/>
  <c r="F31" i="13" l="1"/>
  <c r="L31" i="13" s="1"/>
  <c r="F32" i="13" l="1"/>
  <c r="L32" i="13" s="1"/>
  <c r="F33" i="13" l="1"/>
  <c r="L33" i="13" s="1"/>
  <c r="F34" i="13" l="1"/>
  <c r="L34" i="13" s="1"/>
  <c r="F35" i="13" l="1"/>
  <c r="L35" i="13" s="1"/>
  <c r="F36" i="13" l="1"/>
  <c r="L36" i="13" s="1"/>
  <c r="F37" i="13" l="1"/>
  <c r="L37" i="13" s="1"/>
  <c r="F38" i="13" l="1"/>
  <c r="L38" i="13" s="1"/>
  <c r="E41" i="12"/>
  <c r="P37" i="13" l="1"/>
  <c r="O37" i="13"/>
  <c r="M37" i="13"/>
  <c r="N37" i="13"/>
  <c r="E42" i="12"/>
  <c r="P38" i="13" l="1"/>
  <c r="O38" i="13"/>
  <c r="M38" i="13"/>
  <c r="N38" i="13"/>
  <c r="P56" i="13" l="1"/>
  <c r="O56" i="13"/>
  <c r="N56" i="13"/>
  <c r="M56" i="13"/>
  <c r="E43" i="12"/>
  <c r="E44" i="12" l="1"/>
  <c r="P39" i="13" l="1"/>
  <c r="O39" i="13"/>
  <c r="N39" i="13"/>
  <c r="M39" i="13"/>
  <c r="E45" i="12" l="1"/>
  <c r="P40" i="13" l="1"/>
  <c r="O40" i="13"/>
  <c r="M40" i="13"/>
  <c r="N40" i="13"/>
  <c r="E46" i="12" l="1"/>
  <c r="P42" i="13" l="1"/>
  <c r="O42" i="13"/>
  <c r="P41" i="13"/>
  <c r="O41" i="13"/>
  <c r="M41" i="13"/>
  <c r="N41" i="13"/>
  <c r="N42" i="13"/>
  <c r="M42" i="13"/>
  <c r="E47" i="12" l="1"/>
  <c r="P43" i="13" l="1"/>
  <c r="O43" i="13"/>
  <c r="N43" i="13"/>
  <c r="M43" i="13"/>
  <c r="E48" i="12" l="1"/>
  <c r="P44" i="13" l="1"/>
  <c r="O44" i="13"/>
  <c r="M44" i="13"/>
  <c r="N44" i="13"/>
  <c r="E49" i="12" l="1"/>
  <c r="P45" i="13" l="1"/>
  <c r="O45" i="13"/>
  <c r="M45" i="13"/>
  <c r="N45" i="13"/>
  <c r="E50" i="12" l="1"/>
  <c r="P46" i="13" l="1"/>
  <c r="O46" i="13"/>
  <c r="M46" i="13"/>
  <c r="N46" i="13"/>
  <c r="E51" i="12"/>
  <c r="E52" i="12" l="1"/>
  <c r="P47" i="13" l="1"/>
  <c r="O47" i="13"/>
  <c r="M47" i="13"/>
  <c r="N47" i="13"/>
  <c r="O48" i="13" l="1"/>
  <c r="E53" i="12"/>
  <c r="P48" i="13" l="1"/>
  <c r="M48" i="13"/>
  <c r="N48" i="13"/>
  <c r="O49" i="13" l="1"/>
  <c r="E54" i="12"/>
  <c r="P49" i="13" l="1"/>
  <c r="M49" i="13"/>
  <c r="N49" i="13"/>
  <c r="E55" i="12"/>
  <c r="O51" i="13" s="1"/>
  <c r="P51" i="13" l="1"/>
  <c r="N51" i="13"/>
  <c r="M51" i="13"/>
  <c r="O50" i="13"/>
  <c r="P50" i="13" l="1"/>
  <c r="N50" i="13"/>
  <c r="M50" i="13"/>
  <c r="E56" i="12"/>
  <c r="E57" i="12" l="1"/>
  <c r="O53" i="13" s="1"/>
  <c r="P53" i="13" l="1"/>
  <c r="M53" i="13"/>
  <c r="N53" i="13"/>
  <c r="O52" i="13"/>
  <c r="P52" i="13" l="1"/>
  <c r="M52" i="13"/>
  <c r="N52" i="13"/>
  <c r="E58" i="12"/>
  <c r="E59" i="12" l="1"/>
  <c r="I16" i="19"/>
  <c r="I30" i="19"/>
  <c r="I10" i="19"/>
  <c r="I12" i="19"/>
  <c r="I13" i="19"/>
  <c r="W16" i="20"/>
  <c r="W18" i="20"/>
  <c r="I18" i="19"/>
  <c r="I21" i="19"/>
  <c r="W24" i="20"/>
  <c r="I24" i="19"/>
  <c r="W26" i="20"/>
  <c r="I26" i="19"/>
  <c r="W32" i="20"/>
  <c r="W33" i="20"/>
  <c r="I33" i="19"/>
  <c r="I35" i="19"/>
  <c r="W38" i="20"/>
  <c r="W39" i="20"/>
  <c r="E11" i="14"/>
  <c r="E14" i="14" l="1"/>
  <c r="E23" i="14" s="1"/>
  <c r="I11" i="14"/>
  <c r="I23" i="14"/>
  <c r="E26" i="14"/>
  <c r="I14" i="14"/>
  <c r="E18" i="14"/>
  <c r="D24" i="19"/>
  <c r="G28" i="9"/>
  <c r="D37" i="19"/>
  <c r="G41" i="9"/>
  <c r="D30" i="19"/>
  <c r="G34" i="9"/>
  <c r="D36" i="19"/>
  <c r="G40" i="9"/>
  <c r="D31" i="19"/>
  <c r="G35" i="9"/>
  <c r="D14" i="19"/>
  <c r="G18" i="9"/>
  <c r="D22" i="19"/>
  <c r="G26" i="9"/>
  <c r="D16" i="19"/>
  <c r="G20" i="9"/>
  <c r="I14" i="19"/>
  <c r="I36" i="19"/>
  <c r="W25" i="20"/>
  <c r="W23" i="20"/>
  <c r="I32" i="19"/>
  <c r="W34" i="20"/>
  <c r="I31" i="19"/>
  <c r="W28" i="20"/>
  <c r="W15" i="20"/>
  <c r="W12" i="20"/>
  <c r="I22" i="19"/>
  <c r="W35" i="20"/>
  <c r="W30" i="20"/>
  <c r="I20" i="19"/>
  <c r="I29" i="19"/>
  <c r="W31" i="20"/>
  <c r="I27" i="19"/>
  <c r="W29" i="20"/>
  <c r="W36" i="20"/>
  <c r="I34" i="19"/>
  <c r="W27" i="20"/>
  <c r="I25" i="19"/>
  <c r="W14" i="20"/>
  <c r="W37" i="20"/>
  <c r="I19" i="19"/>
  <c r="W21" i="20"/>
  <c r="W19" i="20"/>
  <c r="I17" i="19"/>
  <c r="W17" i="20"/>
  <c r="I28" i="19"/>
  <c r="I15" i="19"/>
  <c r="I11" i="19"/>
  <c r="W13" i="20"/>
  <c r="W22" i="20"/>
  <c r="I37" i="19"/>
  <c r="W20" i="20"/>
  <c r="I23" i="19"/>
  <c r="O55" i="13" l="1"/>
  <c r="F57" i="13"/>
  <c r="O54" i="13"/>
  <c r="I26" i="14"/>
  <c r="E29" i="14"/>
  <c r="I29" i="14" s="1"/>
  <c r="G14" i="9"/>
  <c r="W49" i="20"/>
  <c r="F24" i="19"/>
  <c r="F16" i="19"/>
  <c r="H16" i="19" s="1"/>
  <c r="F36" i="19"/>
  <c r="H36" i="19" s="1"/>
  <c r="X38" i="20" s="1"/>
  <c r="Y38" i="20" s="1"/>
  <c r="F31" i="19"/>
  <c r="H31" i="19" s="1"/>
  <c r="I18" i="14"/>
  <c r="I31" i="14" s="1"/>
  <c r="F22" i="19"/>
  <c r="F14" i="19"/>
  <c r="F37" i="19"/>
  <c r="H37" i="19" s="1"/>
  <c r="X39" i="20" s="1"/>
  <c r="Y39" i="20" s="1"/>
  <c r="F30" i="19"/>
  <c r="D20" i="19"/>
  <c r="G24" i="9"/>
  <c r="D13" i="19"/>
  <c r="G17" i="9"/>
  <c r="I23" i="6"/>
  <c r="J23" i="6" s="1"/>
  <c r="D11" i="19"/>
  <c r="G15" i="9"/>
  <c r="D19" i="19"/>
  <c r="G23" i="9"/>
  <c r="D28" i="19"/>
  <c r="G32" i="9"/>
  <c r="D32" i="19"/>
  <c r="G36" i="9"/>
  <c r="I38" i="6"/>
  <c r="J38" i="6" s="1"/>
  <c r="D25" i="19"/>
  <c r="G29" i="9"/>
  <c r="D26" i="19"/>
  <c r="G30" i="9"/>
  <c r="I15" i="6"/>
  <c r="J15" i="6" s="1"/>
  <c r="D33" i="19"/>
  <c r="G37" i="9"/>
  <c r="I32" i="6"/>
  <c r="J32" i="6" s="1"/>
  <c r="D15" i="19"/>
  <c r="G19" i="9"/>
  <c r="I31" i="6"/>
  <c r="J31" i="6" s="1"/>
  <c r="D17" i="19"/>
  <c r="G21" i="9"/>
  <c r="D12" i="19"/>
  <c r="G16" i="9"/>
  <c r="D27" i="19"/>
  <c r="G31" i="9"/>
  <c r="D29" i="19"/>
  <c r="G33" i="9"/>
  <c r="D21" i="19"/>
  <c r="G25" i="9"/>
  <c r="I25" i="6"/>
  <c r="J25" i="6" s="1"/>
  <c r="D18" i="19"/>
  <c r="G22" i="9"/>
  <c r="D35" i="19"/>
  <c r="G39" i="9"/>
  <c r="D34" i="19"/>
  <c r="G38" i="9"/>
  <c r="D23" i="19"/>
  <c r="G27" i="9"/>
  <c r="I17" i="6"/>
  <c r="J17" i="6" s="1"/>
  <c r="I37" i="6"/>
  <c r="J37" i="6" s="1"/>
  <c r="I38" i="19"/>
  <c r="P30" i="13" l="1"/>
  <c r="O30" i="13"/>
  <c r="P36" i="13"/>
  <c r="O36" i="13"/>
  <c r="P35" i="13"/>
  <c r="O35" i="13"/>
  <c r="P13" i="13"/>
  <c r="O13" i="13"/>
  <c r="P21" i="13"/>
  <c r="O21" i="13"/>
  <c r="P23" i="13"/>
  <c r="O23" i="13"/>
  <c r="P15" i="13"/>
  <c r="O15" i="13"/>
  <c r="P29" i="13"/>
  <c r="O29" i="13"/>
  <c r="P54" i="13"/>
  <c r="M54" i="13"/>
  <c r="N54" i="13"/>
  <c r="P55" i="13"/>
  <c r="N55" i="13"/>
  <c r="M55" i="13"/>
  <c r="E31" i="14"/>
  <c r="D10" i="19"/>
  <c r="H24" i="19"/>
  <c r="X26" i="20" s="1"/>
  <c r="Y26" i="20" s="1"/>
  <c r="H30" i="19"/>
  <c r="X32" i="20" s="1"/>
  <c r="Y32" i="20" s="1"/>
  <c r="H22" i="19"/>
  <c r="X33" i="20"/>
  <c r="Y33" i="20" s="1"/>
  <c r="K31" i="19"/>
  <c r="F25" i="19"/>
  <c r="F17" i="19"/>
  <c r="F32" i="19"/>
  <c r="H32" i="19" s="1"/>
  <c r="F23" i="19"/>
  <c r="F33" i="19"/>
  <c r="H33" i="19" s="1"/>
  <c r="M21" i="13"/>
  <c r="N21" i="13"/>
  <c r="M35" i="13"/>
  <c r="N35" i="13"/>
  <c r="M13" i="13"/>
  <c r="N13" i="13"/>
  <c r="F18" i="19"/>
  <c r="F28" i="19"/>
  <c r="M29" i="13"/>
  <c r="N29" i="13"/>
  <c r="F34" i="19"/>
  <c r="H34" i="19" s="1"/>
  <c r="F12" i="19"/>
  <c r="H12" i="19" s="1"/>
  <c r="F15" i="19"/>
  <c r="H15" i="19" s="1"/>
  <c r="F19" i="19"/>
  <c r="H19" i="19" s="1"/>
  <c r="F20" i="19"/>
  <c r="H20" i="19" s="1"/>
  <c r="M30" i="13"/>
  <c r="N30" i="13"/>
  <c r="F26" i="19"/>
  <c r="H14" i="19"/>
  <c r="X16" i="20" s="1"/>
  <c r="N36" i="13"/>
  <c r="M36" i="13"/>
  <c r="M23" i="13"/>
  <c r="N23" i="13"/>
  <c r="F29" i="19"/>
  <c r="F27" i="19"/>
  <c r="H27" i="19" s="1"/>
  <c r="F13" i="19"/>
  <c r="H13" i="19" s="1"/>
  <c r="N15" i="13"/>
  <c r="M15" i="13"/>
  <c r="F35" i="19"/>
  <c r="H35" i="19" s="1"/>
  <c r="F21" i="19"/>
  <c r="H21" i="19" s="1"/>
  <c r="F11" i="19"/>
  <c r="H11" i="19" s="1"/>
  <c r="I14" i="6"/>
  <c r="J14" i="6" s="1"/>
  <c r="I22" i="6"/>
  <c r="J22" i="6" s="1"/>
  <c r="I27" i="6"/>
  <c r="J27" i="6" s="1"/>
  <c r="I20" i="6"/>
  <c r="J20" i="6" s="1"/>
  <c r="I19" i="6"/>
  <c r="J19" i="6" s="1"/>
  <c r="I26" i="6"/>
  <c r="J26" i="6" s="1"/>
  <c r="K37" i="19"/>
  <c r="Z39" i="20"/>
  <c r="I21" i="6"/>
  <c r="J21" i="6" s="1"/>
  <c r="I35" i="6"/>
  <c r="J35" i="6" s="1"/>
  <c r="I28" i="6"/>
  <c r="J28" i="6" s="1"/>
  <c r="I34" i="6"/>
  <c r="J34" i="6" s="1"/>
  <c r="I33" i="6"/>
  <c r="J33" i="6" s="1"/>
  <c r="Z38" i="20"/>
  <c r="I30" i="6"/>
  <c r="J30" i="6" s="1"/>
  <c r="I24" i="6"/>
  <c r="J24" i="6" s="1"/>
  <c r="I18" i="6"/>
  <c r="J18" i="6" s="1"/>
  <c r="I12" i="6"/>
  <c r="J12" i="6" s="1"/>
  <c r="I36" i="6"/>
  <c r="J36" i="6" s="1"/>
  <c r="I13" i="6"/>
  <c r="J13" i="6" s="1"/>
  <c r="I16" i="6"/>
  <c r="J16" i="6" s="1"/>
  <c r="G62" i="9"/>
  <c r="I11" i="6"/>
  <c r="J11" i="6" s="1"/>
  <c r="I29" i="6"/>
  <c r="J29" i="6" s="1"/>
  <c r="K36" i="19"/>
  <c r="X18" i="20"/>
  <c r="Y18" i="20" s="1"/>
  <c r="K16" i="19"/>
  <c r="P34" i="13" l="1"/>
  <c r="O34" i="13"/>
  <c r="P28" i="13"/>
  <c r="O28" i="13"/>
  <c r="P11" i="13"/>
  <c r="O11" i="13"/>
  <c r="P17" i="13"/>
  <c r="O17" i="13"/>
  <c r="P32" i="13"/>
  <c r="O32" i="13"/>
  <c r="P24" i="13"/>
  <c r="O24" i="13"/>
  <c r="P33" i="13"/>
  <c r="O33" i="13"/>
  <c r="P18" i="13"/>
  <c r="O18" i="13"/>
  <c r="P31" i="13"/>
  <c r="O31" i="13"/>
  <c r="P22" i="13"/>
  <c r="O22" i="13"/>
  <c r="P12" i="13"/>
  <c r="O12" i="13"/>
  <c r="P20" i="13"/>
  <c r="O20" i="13"/>
  <c r="P26" i="13"/>
  <c r="O26" i="13"/>
  <c r="P19" i="13"/>
  <c r="O19" i="13"/>
  <c r="P10" i="13"/>
  <c r="O10" i="13"/>
  <c r="P25" i="13"/>
  <c r="O25" i="13"/>
  <c r="P14" i="13"/>
  <c r="O14" i="13"/>
  <c r="P27" i="13"/>
  <c r="O27" i="13"/>
  <c r="P16" i="13"/>
  <c r="O16" i="13"/>
  <c r="F10" i="19"/>
  <c r="H10" i="19" s="1"/>
  <c r="X12" i="20" s="1"/>
  <c r="Y12" i="20" s="1"/>
  <c r="D38" i="19"/>
  <c r="K24" i="19"/>
  <c r="K30" i="19"/>
  <c r="Z33" i="20"/>
  <c r="H18" i="19"/>
  <c r="X20" i="20" s="1"/>
  <c r="Y20" i="20" s="1"/>
  <c r="Y16" i="20"/>
  <c r="H26" i="19"/>
  <c r="K26" i="19" s="1"/>
  <c r="H23" i="19"/>
  <c r="K23" i="19" s="1"/>
  <c r="H25" i="19"/>
  <c r="X27" i="20" s="1"/>
  <c r="Y27" i="20" s="1"/>
  <c r="H17" i="19"/>
  <c r="K17" i="19" s="1"/>
  <c r="O9" i="13"/>
  <c r="G57" i="13"/>
  <c r="H29" i="19"/>
  <c r="X31" i="20" s="1"/>
  <c r="Y31" i="20" s="1"/>
  <c r="X24" i="20"/>
  <c r="Y24" i="20" s="1"/>
  <c r="K22" i="19"/>
  <c r="H28" i="19"/>
  <c r="K28" i="19" s="1"/>
  <c r="Z16" i="20"/>
  <c r="M10" i="13"/>
  <c r="N10" i="13"/>
  <c r="M19" i="13"/>
  <c r="N19" i="13"/>
  <c r="N16" i="13"/>
  <c r="M16" i="13"/>
  <c r="M11" i="13"/>
  <c r="N11" i="13"/>
  <c r="M27" i="13"/>
  <c r="N27" i="13"/>
  <c r="M20" i="13"/>
  <c r="N20" i="13"/>
  <c r="N32" i="13"/>
  <c r="M32" i="13"/>
  <c r="M17" i="13"/>
  <c r="N17" i="13"/>
  <c r="N12" i="13"/>
  <c r="M12" i="13"/>
  <c r="N25" i="13"/>
  <c r="M25" i="13"/>
  <c r="K14" i="19"/>
  <c r="N34" i="13"/>
  <c r="M34" i="13"/>
  <c r="N26" i="13"/>
  <c r="M26" i="13"/>
  <c r="N14" i="13"/>
  <c r="M14" i="13"/>
  <c r="N22" i="13"/>
  <c r="M22" i="13"/>
  <c r="N28" i="13"/>
  <c r="M28" i="13"/>
  <c r="M31" i="13"/>
  <c r="N31" i="13"/>
  <c r="M33" i="13"/>
  <c r="N33" i="13"/>
  <c r="N18" i="13"/>
  <c r="M18" i="13"/>
  <c r="M24" i="13"/>
  <c r="N24" i="13"/>
  <c r="X14" i="20"/>
  <c r="Y14" i="20" s="1"/>
  <c r="K12" i="19"/>
  <c r="X22" i="20"/>
  <c r="Y22" i="20" s="1"/>
  <c r="K20" i="19"/>
  <c r="X17" i="20"/>
  <c r="Y17" i="20" s="1"/>
  <c r="K15" i="19"/>
  <c r="Z32" i="20"/>
  <c r="X35" i="20"/>
  <c r="Y35" i="20" s="1"/>
  <c r="K33" i="19"/>
  <c r="I58" i="6"/>
  <c r="X29" i="20"/>
  <c r="Y29" i="20" s="1"/>
  <c r="K27" i="19"/>
  <c r="X13" i="20"/>
  <c r="Y13" i="20" s="1"/>
  <c r="K11" i="19"/>
  <c r="Z26" i="20"/>
  <c r="X15" i="20"/>
  <c r="Y15" i="20" s="1"/>
  <c r="K13" i="19"/>
  <c r="X36" i="20"/>
  <c r="Y36" i="20" s="1"/>
  <c r="K34" i="19"/>
  <c r="X21" i="20"/>
  <c r="Y21" i="20" s="1"/>
  <c r="K19" i="19"/>
  <c r="X23" i="20"/>
  <c r="Y23" i="20" s="1"/>
  <c r="K21" i="19"/>
  <c r="Z18" i="20"/>
  <c r="X34" i="20"/>
  <c r="Y34" i="20" s="1"/>
  <c r="K32" i="19"/>
  <c r="X37" i="20"/>
  <c r="Y37" i="20" s="1"/>
  <c r="K35" i="19"/>
  <c r="F38" i="19" l="1"/>
  <c r="L57" i="13"/>
  <c r="P9" i="13"/>
  <c r="K18" i="19"/>
  <c r="X19" i="20"/>
  <c r="Y19" i="20" s="1"/>
  <c r="X25" i="20"/>
  <c r="Y25" i="20" s="1"/>
  <c r="K25" i="19"/>
  <c r="X28" i="20"/>
  <c r="Y28" i="20" s="1"/>
  <c r="O57" i="13"/>
  <c r="K10" i="19"/>
  <c r="M9" i="13"/>
  <c r="X30" i="20"/>
  <c r="K29" i="19"/>
  <c r="H38" i="19"/>
  <c r="Z24" i="20"/>
  <c r="N9" i="13"/>
  <c r="Z21" i="20"/>
  <c r="Z17" i="20"/>
  <c r="Z29" i="20"/>
  <c r="Z13" i="20"/>
  <c r="Z35" i="20"/>
  <c r="Z31" i="20"/>
  <c r="Z36" i="20"/>
  <c r="Z27" i="20"/>
  <c r="Z15" i="20"/>
  <c r="Z37" i="20"/>
  <c r="Z12" i="20"/>
  <c r="Z22" i="20"/>
  <c r="Z23" i="20"/>
  <c r="Z34" i="20"/>
  <c r="Z20" i="20"/>
  <c r="Z14" i="20"/>
  <c r="R6" i="13" l="1"/>
  <c r="Z19" i="20"/>
  <c r="M57" i="13"/>
  <c r="Z28" i="20"/>
  <c r="Z25" i="20"/>
  <c r="K38" i="19"/>
  <c r="Y30" i="20"/>
  <c r="X49" i="20"/>
  <c r="Z30" i="20"/>
  <c r="N57" i="13"/>
  <c r="S6" i="13" l="1"/>
  <c r="J11" i="9" s="1"/>
  <c r="L11" i="9" s="1"/>
  <c r="Q7" i="13"/>
  <c r="M11" i="9" l="1"/>
  <c r="R7" i="13"/>
  <c r="Q8" i="13" s="1"/>
  <c r="S7" i="13" l="1"/>
  <c r="J12" i="9" s="1"/>
  <c r="L12" i="9" s="1"/>
  <c r="R8" i="13"/>
  <c r="S8" i="13" s="1"/>
  <c r="J13" i="9" s="1"/>
  <c r="L13" i="9" s="1"/>
  <c r="M13" i="9" l="1"/>
  <c r="M12" i="9"/>
  <c r="Q9" i="13"/>
  <c r="R9" i="13"/>
  <c r="S9" i="13" s="1"/>
  <c r="J14" i="9" s="1"/>
  <c r="L14" i="9" s="1"/>
  <c r="M14" i="9" l="1"/>
  <c r="Q10" i="13"/>
  <c r="R10" i="13" s="1"/>
  <c r="S10" i="13" s="1"/>
  <c r="J15" i="9" s="1"/>
  <c r="L15" i="9" s="1"/>
  <c r="M15" i="9" l="1"/>
  <c r="Q11" i="13"/>
  <c r="R11" i="13"/>
  <c r="S11" i="13" s="1"/>
  <c r="J16" i="9" s="1"/>
  <c r="L16" i="9" s="1"/>
  <c r="M16" i="9" l="1"/>
  <c r="Q12" i="13"/>
  <c r="R12" i="13" s="1"/>
  <c r="S12" i="13" s="1"/>
  <c r="Q13" i="13" l="1"/>
  <c r="R13" i="13" s="1"/>
  <c r="J17" i="9"/>
  <c r="L17" i="9" l="1"/>
  <c r="S13" i="13"/>
  <c r="Q14" i="13"/>
  <c r="P57" i="13"/>
  <c r="R14" i="13" l="1"/>
  <c r="J18" i="9"/>
  <c r="L18" i="9" s="1"/>
  <c r="M17" i="9"/>
  <c r="S14" i="13" l="1"/>
  <c r="Q15" i="13"/>
  <c r="R15" i="13" s="1"/>
  <c r="J19" i="9" l="1"/>
  <c r="M18" i="9"/>
  <c r="Q16" i="13" l="1"/>
  <c r="R16" i="13" s="1"/>
  <c r="S15" i="13"/>
  <c r="L19" i="9"/>
  <c r="M19" i="9" l="1"/>
  <c r="J20" i="9"/>
  <c r="L20" i="9" l="1"/>
  <c r="Q17" i="13"/>
  <c r="R17" i="13" s="1"/>
  <c r="S16" i="13"/>
  <c r="J21" i="9" l="1"/>
  <c r="M20" i="9"/>
  <c r="L21" i="9" l="1"/>
  <c r="S17" i="13"/>
  <c r="J22" i="9" s="1"/>
  <c r="L22" i="9" s="1"/>
  <c r="Q18" i="13"/>
  <c r="R18" i="13" s="1"/>
  <c r="M22" i="9" l="1"/>
  <c r="Q19" i="13"/>
  <c r="R19" i="13" s="1"/>
  <c r="S18" i="13"/>
  <c r="J23" i="9" s="1"/>
  <c r="L23" i="9" s="1"/>
  <c r="M21" i="9"/>
  <c r="M23" i="9" l="1"/>
  <c r="Q20" i="13"/>
  <c r="R20" i="13" s="1"/>
  <c r="S19" i="13"/>
  <c r="J24" i="9" s="1"/>
  <c r="L24" i="9" s="1"/>
  <c r="M24" i="9" l="1"/>
  <c r="Q21" i="13"/>
  <c r="R21" i="13" s="1"/>
  <c r="S20" i="13"/>
  <c r="J25" i="9" s="1"/>
  <c r="L25" i="9" s="1"/>
  <c r="M25" i="9" l="1"/>
  <c r="S21" i="13"/>
  <c r="J26" i="9" s="1"/>
  <c r="L26" i="9" s="1"/>
  <c r="Q22" i="13"/>
  <c r="R22" i="13" s="1"/>
  <c r="Q23" i="13" s="1"/>
  <c r="R23" i="13" s="1"/>
  <c r="M26" i="9" l="1"/>
  <c r="S22" i="13"/>
  <c r="J27" i="9" s="1"/>
  <c r="L27" i="9" s="1"/>
  <c r="Q24" i="13"/>
  <c r="R24" i="13" s="1"/>
  <c r="M27" i="9" l="1"/>
  <c r="Q25" i="13"/>
  <c r="R25" i="13" s="1"/>
  <c r="S23" i="13"/>
  <c r="J28" i="9" s="1"/>
  <c r="L28" i="9" s="1"/>
  <c r="M28" i="9" l="1"/>
  <c r="S24" i="13"/>
  <c r="J29" i="9" s="1"/>
  <c r="L29" i="9" s="1"/>
  <c r="Q26" i="13"/>
  <c r="R26" i="13" s="1"/>
  <c r="M29" i="9" l="1"/>
  <c r="S25" i="13"/>
  <c r="J30" i="9" s="1"/>
  <c r="L30" i="9" s="1"/>
  <c r="Q27" i="13"/>
  <c r="R27" i="13" s="1"/>
  <c r="M30" i="9" l="1"/>
  <c r="S26" i="13"/>
  <c r="J31" i="9" s="1"/>
  <c r="L31" i="9" s="1"/>
  <c r="Q28" i="13"/>
  <c r="R28" i="13" s="1"/>
  <c r="M31" i="9" l="1"/>
  <c r="S27" i="13"/>
  <c r="J32" i="9" s="1"/>
  <c r="L32" i="9" s="1"/>
  <c r="Q29" i="13"/>
  <c r="R29" i="13" s="1"/>
  <c r="M32" i="9" l="1"/>
  <c r="Q30" i="13"/>
  <c r="R30" i="13" s="1"/>
  <c r="S28" i="13"/>
  <c r="J33" i="9" s="1"/>
  <c r="L33" i="9" s="1"/>
  <c r="M33" i="9" l="1"/>
  <c r="Q31" i="13"/>
  <c r="R31" i="13" s="1"/>
  <c r="S29" i="13"/>
  <c r="J34" i="9" s="1"/>
  <c r="L34" i="9" s="1"/>
  <c r="M34" i="9" l="1"/>
  <c r="Q32" i="13"/>
  <c r="R32" i="13" s="1"/>
  <c r="S30" i="13"/>
  <c r="J35" i="9" s="1"/>
  <c r="L35" i="9" s="1"/>
  <c r="M35" i="9" l="1"/>
  <c r="S31" i="13"/>
  <c r="J36" i="9" s="1"/>
  <c r="L36" i="9" s="1"/>
  <c r="Q33" i="13"/>
  <c r="R33" i="13" s="1"/>
  <c r="M36" i="9" l="1"/>
  <c r="Q34" i="13"/>
  <c r="R34" i="13" s="1"/>
  <c r="S32" i="13"/>
  <c r="J37" i="9" s="1"/>
  <c r="L37" i="9" s="1"/>
  <c r="M37" i="9" l="1"/>
  <c r="Q35" i="13"/>
  <c r="R35" i="13" s="1"/>
  <c r="S33" i="13"/>
  <c r="J38" i="9" s="1"/>
  <c r="L38" i="9" s="1"/>
  <c r="M38" i="9" l="1"/>
  <c r="S34" i="13"/>
  <c r="J39" i="9" s="1"/>
  <c r="L39" i="9" s="1"/>
  <c r="Q36" i="13"/>
  <c r="R36" i="13" s="1"/>
  <c r="M39" i="9" l="1"/>
  <c r="Q37" i="13"/>
  <c r="R37" i="13" s="1"/>
  <c r="S35" i="13"/>
  <c r="J40" i="9" s="1"/>
  <c r="L40" i="9" s="1"/>
  <c r="M40" i="9" l="1"/>
  <c r="S36" i="13"/>
  <c r="J41" i="9" s="1"/>
  <c r="L41" i="9" s="1"/>
  <c r="Q38" i="13"/>
  <c r="R38" i="13" s="1"/>
  <c r="M41" i="9" l="1"/>
  <c r="Q39" i="13"/>
  <c r="R39" i="13" s="1"/>
  <c r="S37" i="13"/>
  <c r="J42" i="9" s="1"/>
  <c r="L42" i="9" s="1"/>
  <c r="M42" i="9" l="1"/>
  <c r="S38" i="13"/>
  <c r="J43" i="9" s="1"/>
  <c r="L43" i="9" s="1"/>
  <c r="Q40" i="13"/>
  <c r="R40" i="13" s="1"/>
  <c r="M43" i="9" l="1"/>
  <c r="Q41" i="13"/>
  <c r="R41" i="13" s="1"/>
  <c r="S39" i="13"/>
  <c r="J44" i="9" s="1"/>
  <c r="L44" i="9" s="1"/>
  <c r="M44" i="9" l="1"/>
  <c r="Q42" i="13"/>
  <c r="R42" i="13" s="1"/>
  <c r="S40" i="13"/>
  <c r="J45" i="9" s="1"/>
  <c r="L45" i="9" s="1"/>
  <c r="M45" i="9" l="1"/>
  <c r="Q43" i="13"/>
  <c r="R43" i="13" s="1"/>
  <c r="S41" i="13"/>
  <c r="J46" i="9" s="1"/>
  <c r="L46" i="9" s="1"/>
  <c r="M46" i="9" l="1"/>
  <c r="Q44" i="13"/>
  <c r="R44" i="13" s="1"/>
  <c r="S42" i="13"/>
  <c r="J47" i="9" s="1"/>
  <c r="L47" i="9" s="1"/>
  <c r="M47" i="9" l="1"/>
  <c r="Q45" i="13"/>
  <c r="R45" i="13" s="1"/>
  <c r="S43" i="13"/>
  <c r="J48" i="9" s="1"/>
  <c r="L48" i="9" s="1"/>
  <c r="M48" i="9" l="1"/>
  <c r="S44" i="13"/>
  <c r="J49" i="9" s="1"/>
  <c r="L49" i="9" s="1"/>
  <c r="M49" i="9" l="1"/>
  <c r="S45" i="13"/>
  <c r="J50" i="9" s="1"/>
  <c r="Q46" i="13"/>
  <c r="R46" i="13" l="1"/>
  <c r="L50" i="9"/>
  <c r="Q47" i="13" l="1"/>
  <c r="S46" i="13"/>
  <c r="M50" i="9"/>
  <c r="J51" i="9" l="1"/>
  <c r="R47" i="13"/>
  <c r="Q48" i="13" l="1"/>
  <c r="S47" i="13"/>
  <c r="L51" i="9"/>
  <c r="M51" i="9" l="1"/>
  <c r="J52" i="9"/>
  <c r="R48" i="13"/>
  <c r="L52" i="9" l="1"/>
  <c r="Q49" i="13"/>
  <c r="S48" i="13"/>
  <c r="J53" i="9" l="1"/>
  <c r="R49" i="13"/>
  <c r="M52" i="9"/>
  <c r="Q50" i="13" l="1"/>
  <c r="S49" i="13"/>
  <c r="L53" i="9"/>
  <c r="M53" i="9" l="1"/>
  <c r="J54" i="9"/>
  <c r="R50" i="13"/>
  <c r="Q51" i="13" l="1"/>
  <c r="S50" i="13"/>
  <c r="L54" i="9"/>
  <c r="M54" i="9" l="1"/>
  <c r="J55" i="9"/>
  <c r="R51" i="13"/>
  <c r="Q52" i="13" l="1"/>
  <c r="R52" i="13" s="1"/>
  <c r="S51" i="13"/>
  <c r="J56" i="9" s="1"/>
  <c r="L56" i="9" s="1"/>
  <c r="L55" i="9"/>
  <c r="M56" i="9" l="1"/>
  <c r="M55" i="9"/>
  <c r="Q53" i="13"/>
  <c r="R53" i="13" s="1"/>
  <c r="S52" i="13"/>
  <c r="J57" i="9" s="1"/>
  <c r="L57" i="9" s="1"/>
  <c r="M57" i="9" l="1"/>
  <c r="Q54" i="13"/>
  <c r="R54" i="13" s="1"/>
  <c r="S53" i="13"/>
  <c r="J58" i="9" s="1"/>
  <c r="L58" i="9" s="1"/>
  <c r="M58" i="9" l="1"/>
  <c r="Q55" i="13"/>
  <c r="R55" i="13" s="1"/>
  <c r="S54" i="13"/>
  <c r="J59" i="9" s="1"/>
  <c r="L59" i="9" s="1"/>
  <c r="M59" i="9" l="1"/>
  <c r="Q56" i="13"/>
  <c r="S55" i="13"/>
  <c r="J60" i="9" s="1"/>
  <c r="L60" i="9" s="1"/>
  <c r="M60" i="9" l="1"/>
  <c r="R56" i="13"/>
  <c r="S56" i="13" s="1"/>
  <c r="Q57" i="13"/>
  <c r="J61" i="9" l="1"/>
  <c r="S57" i="13"/>
  <c r="L61" i="9" l="1"/>
  <c r="J62" i="9"/>
  <c r="M61" i="9" l="1"/>
  <c r="L62" i="9"/>
  <c r="M6" i="9" l="1"/>
  <c r="M62" i="9"/>
</calcChain>
</file>

<file path=xl/sharedStrings.xml><?xml version="1.0" encoding="utf-8"?>
<sst xmlns="http://schemas.openxmlformats.org/spreadsheetml/2006/main" count="234" uniqueCount="152">
  <si>
    <t>Year</t>
  </si>
  <si>
    <t>Current Interest Bonds</t>
  </si>
  <si>
    <t>Debt Service Reserve Fund</t>
  </si>
  <si>
    <t>Capitalized Interest Fund</t>
  </si>
  <si>
    <t>Interest</t>
  </si>
  <si>
    <t>Total</t>
  </si>
  <si>
    <t>Principal</t>
  </si>
  <si>
    <t>Debt Service</t>
  </si>
  <si>
    <t>Period</t>
  </si>
  <si>
    <t>Revenues</t>
  </si>
  <si>
    <t>Expenses</t>
  </si>
  <si>
    <t>Depreciation</t>
  </si>
  <si>
    <t>Amount</t>
  </si>
  <si>
    <t>Depreciation Method</t>
  </si>
  <si>
    <t>Acceleration Factor</t>
  </si>
  <si>
    <t>Depreciation Term</t>
  </si>
  <si>
    <t>Equity</t>
  </si>
  <si>
    <t>Accelerated</t>
  </si>
  <si>
    <t>Annual Depreciation</t>
  </si>
  <si>
    <t>Remaining Amount</t>
  </si>
  <si>
    <t>Profit Before Tax</t>
  </si>
  <si>
    <t>State Tax Loss Carryforward</t>
  </si>
  <si>
    <t>Federal Tax Loss Carryforward</t>
  </si>
  <si>
    <t>State Taxes</t>
  </si>
  <si>
    <t>Federal Taxes</t>
  </si>
  <si>
    <t>Loss Utilized</t>
  </si>
  <si>
    <t>Remaining Carryforward</t>
  </si>
  <si>
    <t>Tax Payable</t>
  </si>
  <si>
    <t>Operating Costs</t>
  </si>
  <si>
    <t>Senior Lien Debt</t>
  </si>
  <si>
    <t>Net Debt Service</t>
  </si>
  <si>
    <t>Net</t>
  </si>
  <si>
    <t>Income</t>
  </si>
  <si>
    <t>Tax</t>
  </si>
  <si>
    <t>Bond Proceeds</t>
  </si>
  <si>
    <t>Total Sources</t>
  </si>
  <si>
    <t>Uses</t>
  </si>
  <si>
    <t>Cost of Issuance</t>
  </si>
  <si>
    <t>Total Uses</t>
  </si>
  <si>
    <t>Sources</t>
  </si>
  <si>
    <t>Capitalized Interest</t>
  </si>
  <si>
    <t>Senior Lien</t>
  </si>
  <si>
    <t>Coverage Ratio</t>
  </si>
  <si>
    <t>Total Revenues</t>
  </si>
  <si>
    <t>Concession Term</t>
  </si>
  <si>
    <t>II. Sources and Uses</t>
  </si>
  <si>
    <t>Existing</t>
  </si>
  <si>
    <t>Debt</t>
  </si>
  <si>
    <t>Revenues Available for Debt Service</t>
  </si>
  <si>
    <t>Pledged</t>
  </si>
  <si>
    <t>Revenues for</t>
  </si>
  <si>
    <t>Deposits</t>
  </si>
  <si>
    <t>Operating Expenses</t>
  </si>
  <si>
    <t>Aggregate</t>
  </si>
  <si>
    <t>Service</t>
  </si>
  <si>
    <t>Subordinate Lien</t>
  </si>
  <si>
    <t xml:space="preserve">Equity </t>
  </si>
  <si>
    <t>Contribution</t>
  </si>
  <si>
    <t>Residual Revenues</t>
  </si>
  <si>
    <t>Revenue Sharing</t>
  </si>
  <si>
    <t>Note:</t>
  </si>
  <si>
    <t>Contingency/(Funding Gap)</t>
  </si>
  <si>
    <t>Capital Appreciation Bonds</t>
  </si>
  <si>
    <t>Value at Maturity</t>
  </si>
  <si>
    <t>Original Value</t>
  </si>
  <si>
    <t>Ratio</t>
  </si>
  <si>
    <t>CAPI</t>
  </si>
  <si>
    <t>Coverage</t>
  </si>
  <si>
    <t>Convertible Capital Appreciation Bonds</t>
  </si>
  <si>
    <t>Senior DS</t>
  </si>
  <si>
    <t>Subordinate DS</t>
  </si>
  <si>
    <t>Entity</t>
  </si>
  <si>
    <t>State</t>
  </si>
  <si>
    <t>FL</t>
  </si>
  <si>
    <t xml:space="preserve">Concession Capital Project </t>
  </si>
  <si>
    <t>Capital Project Cost</t>
  </si>
  <si>
    <t>Construction Start</t>
  </si>
  <si>
    <t>Construction End</t>
  </si>
  <si>
    <t>Concession Agreement Assumptions</t>
  </si>
  <si>
    <t>IRR Target</t>
  </si>
  <si>
    <t>Capital Project</t>
  </si>
  <si>
    <t>Current Interest Bonds (TE)</t>
  </si>
  <si>
    <t>Capital Appreciation Bonds (TE)</t>
  </si>
  <si>
    <t>Convertible Capital Appreciation Bonds (TE)</t>
  </si>
  <si>
    <t>Subordinate Lien Debt</t>
  </si>
  <si>
    <t>New Current Interest Bonds (TE)</t>
  </si>
  <si>
    <t>New Capital Appreciation Bonds (TE)</t>
  </si>
  <si>
    <t>New Convertible Capital Appreciation Bonds (TE)</t>
  </si>
  <si>
    <t>Operating Revenues</t>
  </si>
  <si>
    <t>Variable Payments</t>
  </si>
  <si>
    <t>Fixed Payments</t>
  </si>
  <si>
    <t>Capital</t>
  </si>
  <si>
    <t>Project</t>
  </si>
  <si>
    <t>Debt Service Reserve Fund (Cash Funded)</t>
  </si>
  <si>
    <t>Cost of Issuance ($ per thousand)</t>
  </si>
  <si>
    <t>Permitted Capitalized Interest Period Through (Tax Exempt Bonds)</t>
  </si>
  <si>
    <t>Permitted Capitalized Interest Period Through (PABs)</t>
  </si>
  <si>
    <t>Operating Revenues and Costs</t>
  </si>
  <si>
    <t>Concessionaire</t>
  </si>
  <si>
    <t>Existing Debt Payment</t>
  </si>
  <si>
    <t>10% of Par</t>
  </si>
  <si>
    <t>Instructions</t>
  </si>
  <si>
    <t xml:space="preserve">2. For bond issuances that have different credit ratings and credit spreads, this pro-forma schedule will not be applicable. The user is advised to re-calculate the schedule. </t>
  </si>
  <si>
    <t>A2 rated</t>
  </si>
  <si>
    <t>BBB- rated</t>
  </si>
  <si>
    <t>III. Cash Flow - Concessionaire</t>
  </si>
  <si>
    <t xml:space="preserve">The components that can be changed are in blue font. </t>
  </si>
  <si>
    <r>
      <t>Dividend</t>
    </r>
    <r>
      <rPr>
        <b/>
        <vertAlign val="superscript"/>
        <sz val="10"/>
        <rFont val="Arial"/>
        <family val="2"/>
      </rPr>
      <t>1</t>
    </r>
  </si>
  <si>
    <t xml:space="preserve">I. Assumptions </t>
  </si>
  <si>
    <t>General</t>
  </si>
  <si>
    <t>Project Name</t>
  </si>
  <si>
    <t>Financing</t>
  </si>
  <si>
    <t>Capital Project Deposits</t>
  </si>
  <si>
    <t>Concessionaire Fixed Payments</t>
  </si>
  <si>
    <t>Concessionaire Variable Payments</t>
  </si>
  <si>
    <t>Concessionaire Contribution</t>
  </si>
  <si>
    <t>Funds on Hand/Concessionaire Contribution</t>
  </si>
  <si>
    <t>Cash Flow</t>
  </si>
  <si>
    <t>State Income Tax Rate</t>
  </si>
  <si>
    <t>Federal Income Tax Rate</t>
  </si>
  <si>
    <t>Concessionaire Working Capital</t>
  </si>
  <si>
    <t>Concessionaire Debt Capitalized Interest</t>
  </si>
  <si>
    <t>Concessionaire Bonds (PABs)</t>
  </si>
  <si>
    <t>Concessionaire Senior Lien</t>
  </si>
  <si>
    <t>(8) Concessionaire's Operating Revenues and Costs (Data Input tab)</t>
  </si>
  <si>
    <t>(9) Public Entity's Operating Revenues and Costs (Data Input tab)</t>
  </si>
  <si>
    <t>(10) Public Entity's Existing Debt Service (Data Input tab)</t>
  </si>
  <si>
    <t>(11) New Debt Issuance - Pro Forma Debt Service (Data Input tab)</t>
  </si>
  <si>
    <t>V. Debt Service and Debt Service Coverage Ratios - Concessionaire</t>
  </si>
  <si>
    <t xml:space="preserve">VII. Concessionaire Tax </t>
  </si>
  <si>
    <t>Concessionaire Debt Service</t>
  </si>
  <si>
    <t xml:space="preserve">VIII. Depreciation </t>
  </si>
  <si>
    <t>Concessionaire Debt</t>
  </si>
  <si>
    <t>Annual Fixed Payments</t>
  </si>
  <si>
    <t>Variable Payments (% of Net Operating Revenues)</t>
  </si>
  <si>
    <t>Annual Capital Project Deposit (% of Net Operating Revenues)</t>
  </si>
  <si>
    <t>Port Concession Evaluation Model</t>
  </si>
  <si>
    <t>Users are able to change:</t>
  </si>
  <si>
    <t>(1) Public Entity's Name, State and State Income Tax Rate (Assumptions tab)</t>
  </si>
  <si>
    <t>(2) Concessionaire Annual Fixed Payments (Assumptions tab)</t>
  </si>
  <si>
    <t>(3) Capital Project Name and Cost (Assumptions tab)</t>
  </si>
  <si>
    <t>(4) Capital Project Construction Start and End Date (Assumptions tab)</t>
  </si>
  <si>
    <t>(5) Public Entity's Funds on Hand (Assumptions tab)</t>
  </si>
  <si>
    <t>(6) Concessionaire Contribution (Assumptions tab)</t>
  </si>
  <si>
    <t>(7) Concessionaire Working Capital (Assumptions tab)</t>
  </si>
  <si>
    <r>
      <t>New Debt Issuance - Pro Forma Debt Service</t>
    </r>
    <r>
      <rPr>
        <b/>
        <vertAlign val="superscript"/>
        <sz val="11"/>
        <rFont val="Arial"/>
        <family val="2"/>
      </rPr>
      <t>1,2</t>
    </r>
  </si>
  <si>
    <t>1. The pro forma new debt service is caculated based the assumptions:(1) Port Authority's debt rated A2 and Concession debt rated BBB-; (2) Historical AAA MMD plus corresponding credit spreads; (3) 30-year debt</t>
  </si>
  <si>
    <t xml:space="preserve">1. Includes invested Equity repayment in the last year. </t>
  </si>
  <si>
    <t>New Terminal</t>
  </si>
  <si>
    <t>AAPA Port Authority</t>
  </si>
  <si>
    <t xml:space="preserve">The objective of the model is to illustrate a sample financial feasibility analysis for a port terminal concession. In preparation for formulating a concession plan of finance, a number of factors need to be assessed. For instance, market interest rates, bond issuer's credit rating, bond issuer's additional debt capacity, etc. The plan of finance will then be customized to accomodate these factors. For illustration purposes, this sample model makes certain assumptions (as shown in the Assumptions tab). The users, however, are able to change some other assumptions to tailor the model to their projects. </t>
  </si>
  <si>
    <t>Developed by:</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</si>
</sst>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41" formatCode="_(* #,##0_);_(* \(#,##0\);_(* &quot;-&quot;_);_(@_)"/>
    <numFmt numFmtId="44" formatCode="_(&quot;$&quot;* #,##0.00_);_(&quot;$&quot;* \(#,##0.00\);_(&quot;$&quot;* &quot;-&quot;??_);_(@_)"/>
    <numFmt numFmtId="43" formatCode="_(* #,##0.00_);_(* \(#,##0.00\);_(* &quot;-&quot;??_);_(@_)"/>
    <numFmt numFmtId="164" formatCode="#,##0\ ;\(#,##0\)"/>
    <numFmt numFmtId="165" formatCode="#,##0.00\ ;\(#,##0.00\)"/>
    <numFmt numFmtId="166" formatCode=";;"/>
    <numFmt numFmtId="167" formatCode="&quot;$&quot;#,##0.00\ ;\(&quot;$&quot;#,##0.00\)"/>
    <numFmt numFmtId="168" formatCode="&quot;$&quot;#,##0\ ;\(&quot;$&quot;#,##0\)"/>
    <numFmt numFmtId="169" formatCode="#,##0_);[Red]\(#,##0\);"/>
    <numFmt numFmtId="170" formatCode="[$-409]mmm\-yy;@"/>
    <numFmt numFmtId="171" formatCode="#,##0.00%;[Red]\(#,##0.00%\);&quot;-&quot;"/>
    <numFmt numFmtId="172" formatCode="#,##0;[Red]\(#,##0\);&quot;-&quot;"/>
    <numFmt numFmtId="173" formatCode="#,##0.00;[Red]\(#,##0.00\);&quot;-&quot;"/>
    <numFmt numFmtId="174" formatCode="_(* #,##0_);_(* \(#,##0\)"/>
    <numFmt numFmtId="175" formatCode="mmm\-yyyy"/>
    <numFmt numFmtId="176" formatCode="dd\ mmm\ yy"/>
    <numFmt numFmtId="177" formatCode="#,##0;\(#,##0\)"/>
    <numFmt numFmtId="178" formatCode="#,##0;\-#,##0;\-"/>
    <numFmt numFmtId="179" formatCode="#,##0_ ;[Red]\(#,##0\);\-\ "/>
    <numFmt numFmtId="180" formatCode="#,##0;\(#,##0\);\-"/>
    <numFmt numFmtId="181" formatCode="&quot;þ&quot;;&quot;ý&quot;;&quot;¨&quot;"/>
    <numFmt numFmtId="182" formatCode="&quot;þ&quot;;;&quot;o&quot;;"/>
    <numFmt numFmtId="183" formatCode="#,##0.00\ ;[Red]\(#,##0.00\)"/>
    <numFmt numFmtId="184" formatCode="#,##0_);\(#,##0\);&quot;- &quot;;&quot;  &quot;@"/>
    <numFmt numFmtId="185" formatCode="_-* #,##0_-;\-* #,##0_-;_-* &quot;-&quot;_-;_-@_-"/>
    <numFmt numFmtId="186" formatCode="_-* #,##0.00_-;\-* #,##0.00_-;_-* &quot;-&quot;??_-;_-@_-"/>
    <numFmt numFmtId="187" formatCode="[Green]&quot;é&quot;;[Red]&quot;ê&quot;;&quot;ù&quot;;"/>
    <numFmt numFmtId="188" formatCode="_([$€-2]* #,##0.00_);_([$€-2]* \(#,##0.00\);_([$€-2]* &quot;-&quot;??_)"/>
    <numFmt numFmtId="189" formatCode="#,##0;\(#,##0\);0"/>
    <numFmt numFmtId="190" formatCode="_(* #,##0.0_%_);_(* \(#,##0.0_%\);_(* &quot; - &quot;_%_);_(@_)"/>
    <numFmt numFmtId="191" formatCode="_(* #,##0.0%_);_(* \(#,##0.0%\);_(* &quot; - &quot;\%_);_(@_)"/>
    <numFmt numFmtId="192" formatCode="_(* #,##0.0_);_(* \(#,##0.0\);_(* &quot; - &quot;_);_(@_)"/>
    <numFmt numFmtId="193" formatCode="_(* #,##0.00_);_(* \(#,##0.00\);_(* &quot; - &quot;_);_(@_)"/>
    <numFmt numFmtId="194" formatCode="_(* #,##0.000_);_(* \(#,##0.000\);_(* &quot; - &quot;_);_(@_)"/>
    <numFmt numFmtId="195" formatCode="#,##0;\(#,##0\);&quot;-&quot;"/>
    <numFmt numFmtId="196" formatCode="#,##0.0000_);\(#,##0.0000\);&quot;- &quot;;&quot;  &quot;@"/>
    <numFmt numFmtId="197" formatCode="#,##0\ ;[Red]\(#,##0\);\-\ "/>
    <numFmt numFmtId="198" formatCode="&quot;Lookup&quot;\ 0"/>
    <numFmt numFmtId="199" formatCode="###0_);\(###0\);&quot;- &quot;;&quot;  &quot;@"/>
    <numFmt numFmtId="200" formatCode="_-&quot;£&quot;* #,##0_-;\-&quot;£&quot;* #,##0_-;_-&quot;£&quot;* &quot;-&quot;_-;_-@_-"/>
    <numFmt numFmtId="201" formatCode="_-&quot;£&quot;* #,##0.00_-;\-&quot;£&quot;* #,##0.00_-;_-&quot;£&quot;* &quot;-&quot;??_-;_-@_-"/>
    <numFmt numFmtId="202" formatCode="#,##0_);\(#,##0\);&quot;-  &quot;;&quot; &quot;@"/>
    <numFmt numFmtId="203" formatCode="dd/mmm/yyyy_);;&quot;-  &quot;;&quot; &quot;@"/>
    <numFmt numFmtId="204" formatCode="dd/mmm/yy_);;&quot;-  &quot;;&quot; &quot;@"/>
    <numFmt numFmtId="205" formatCode="#,##0.0000_);\(#,##0.0000\);&quot;-  &quot;;&quot; &quot;@"/>
    <numFmt numFmtId="206" formatCode="0.0%_);\-0.0%_);&quot;-  &quot;;&quot; &quot;@"/>
    <numFmt numFmtId="207" formatCode="&quot;Yes&quot;;;&quot;No&quot;"/>
    <numFmt numFmtId="208" formatCode="yyyy"/>
    <numFmt numFmtId="209" formatCode="#,##0;\(#,##0\);&quot;&quot;"/>
    <numFmt numFmtId="210" formatCode="0.000%;;"/>
    <numFmt numFmtId="211" formatCode="&quot;$&quot;#,##0"/>
    <numFmt numFmtId="212" formatCode="#,##0;;&quot;&quot;"/>
    <numFmt numFmtId="213" formatCode="#\ &quot;yr&quot;"/>
    <numFmt numFmtId="214" formatCode="#,##0.000"/>
    <numFmt numFmtId="215" formatCode="0&quot; days&quot;;;"/>
    <numFmt numFmtId="216" formatCode=";;;"/>
    <numFmt numFmtId="217" formatCode="#,##0.000_);[Red]\(#,##0.000\);"/>
    <numFmt numFmtId="218" formatCode="General;;"/>
    <numFmt numFmtId="219" formatCode="0.00&quot; years&quot;;;"/>
    <numFmt numFmtId="220" formatCode="#,##0.00&quot; x&quot;"/>
    <numFmt numFmtId="221" formatCode="0%_);\(0%\)"/>
    <numFmt numFmtId="222" formatCode="0.00&quot;x&quot;"/>
    <numFmt numFmtId="223" formatCode="0.0000%"/>
    <numFmt numFmtId="224" formatCode="&quot;$&quot;#,##0;;&quot;Enter amount&quot;"/>
    <numFmt numFmtId="225" formatCode="#,##0&quot; years&quot;"/>
  </numFmts>
  <fonts count="121">
    <font>
      <sz val="10"/>
      <name val="Garamond"/>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Tms Rmn"/>
    </font>
    <font>
      <sz val="10"/>
      <color theme="1"/>
      <name val="Arial"/>
      <family val="2"/>
    </font>
    <font>
      <sz val="10"/>
      <name val="Geneva"/>
      <family val="2"/>
    </font>
    <font>
      <sz val="8"/>
      <name val="Helv"/>
    </font>
    <font>
      <b/>
      <sz val="8"/>
      <name val="Times New Roman"/>
      <family val="1"/>
    </font>
    <font>
      <sz val="8"/>
      <color indexed="62"/>
      <name val="Times New Roman"/>
      <family val="1"/>
    </font>
    <font>
      <b/>
      <sz val="16"/>
      <name val="Arial"/>
      <family val="2"/>
    </font>
    <font>
      <b/>
      <sz val="12"/>
      <name val="Arial"/>
      <family val="2"/>
    </font>
    <font>
      <b/>
      <sz val="14"/>
      <name val="Arial"/>
      <family val="2"/>
    </font>
    <font>
      <sz val="11"/>
      <name val="Arial"/>
      <family val="2"/>
    </font>
    <font>
      <sz val="11"/>
      <color indexed="8"/>
      <name val="Calibri"/>
      <family val="2"/>
    </font>
    <font>
      <sz val="11"/>
      <color indexed="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Geneva"/>
    </font>
    <font>
      <sz val="11"/>
      <color theme="1"/>
      <name val="Arial"/>
      <family val="2"/>
    </font>
    <font>
      <sz val="10"/>
      <color rgb="FF000000"/>
      <name val="Times New Roman"/>
      <family val="1"/>
    </font>
    <font>
      <sz val="10"/>
      <color theme="1"/>
      <name val="Calibri"/>
      <family val="2"/>
      <scheme val="minor"/>
    </font>
    <font>
      <sz val="11"/>
      <name val="Times New Roman"/>
      <family val="1"/>
    </font>
    <font>
      <sz val="10"/>
      <name val="Book Antiqua"/>
      <family val="1"/>
    </font>
    <font>
      <b/>
      <sz val="9"/>
      <name val="Helv"/>
    </font>
    <font>
      <sz val="10"/>
      <color indexed="12"/>
      <name val="Arial"/>
      <family val="2"/>
    </font>
    <font>
      <sz val="10"/>
      <name val="MS Sans Serif"/>
      <family val="2"/>
    </font>
    <font>
      <sz val="9"/>
      <color indexed="12"/>
      <name val="Arial"/>
      <family val="2"/>
    </font>
    <font>
      <b/>
      <sz val="11"/>
      <name val="Arial"/>
      <family val="2"/>
    </font>
    <font>
      <sz val="10"/>
      <name val="ZapfDingbats"/>
      <family val="2"/>
    </font>
    <font>
      <sz val="10"/>
      <color indexed="9"/>
      <name val="Arial"/>
      <family val="2"/>
    </font>
    <font>
      <sz val="10"/>
      <color indexed="40"/>
      <name val="Arial"/>
      <family val="2"/>
    </font>
    <font>
      <sz val="14"/>
      <name val="Wingdings"/>
      <charset val="2"/>
    </font>
    <font>
      <sz val="22"/>
      <color indexed="12"/>
      <name val="Wingdings"/>
      <charset val="2"/>
    </font>
    <font>
      <sz val="22"/>
      <name val="Wingdings"/>
      <charset val="2"/>
    </font>
    <font>
      <b/>
      <u val="singleAccounting"/>
      <sz val="11"/>
      <name val="Arial"/>
      <family val="2"/>
    </font>
    <font>
      <b/>
      <sz val="8"/>
      <color indexed="10"/>
      <name val="Arial"/>
      <family val="2"/>
    </font>
    <font>
      <b/>
      <sz val="16"/>
      <color indexed="9"/>
      <name val="Arial"/>
      <family val="2"/>
    </font>
    <font>
      <sz val="10"/>
      <name val="BERNHARD"/>
    </font>
    <font>
      <sz val="10"/>
      <color indexed="50"/>
      <name val="Arial"/>
      <family val="2"/>
    </font>
    <font>
      <sz val="16"/>
      <name val="Wingdings"/>
      <charset val="2"/>
    </font>
    <font>
      <b/>
      <sz val="32"/>
      <name val="Helvetica"/>
      <family val="2"/>
    </font>
    <font>
      <sz val="12"/>
      <name val="Times New Roman"/>
      <family val="1"/>
    </font>
    <font>
      <i/>
      <sz val="8"/>
      <name val="Times New Roman"/>
      <family val="1"/>
    </font>
    <font>
      <sz val="9"/>
      <name val="Times New Roman"/>
      <family val="1"/>
    </font>
    <font>
      <b/>
      <u val="singleAccounting"/>
      <sz val="9"/>
      <name val="Times New Roman"/>
      <family val="1"/>
    </font>
    <font>
      <b/>
      <sz val="11"/>
      <name val="Times New Roman"/>
      <family val="1"/>
    </font>
    <font>
      <b/>
      <sz val="10"/>
      <name val="Times New Roman"/>
      <family val="1"/>
    </font>
    <font>
      <b/>
      <i/>
      <sz val="9.5"/>
      <name val="Times New Roman"/>
      <family val="1"/>
    </font>
    <font>
      <sz val="10"/>
      <name val="Helvetica"/>
      <family val="2"/>
    </font>
    <font>
      <sz val="10"/>
      <color indexed="18"/>
      <name val="Arial"/>
      <family val="2"/>
    </font>
    <font>
      <sz val="10"/>
      <color indexed="23"/>
      <name val="Arial"/>
      <family val="2"/>
    </font>
    <font>
      <b/>
      <u/>
      <sz val="16"/>
      <color indexed="10"/>
      <name val="Palatino"/>
      <family val="1"/>
    </font>
    <font>
      <sz val="8"/>
      <color indexed="12"/>
      <name val="Helv"/>
    </font>
    <font>
      <b/>
      <sz val="8"/>
      <color indexed="12"/>
      <name val="Arial"/>
      <family val="2"/>
    </font>
    <font>
      <sz val="10"/>
      <color indexed="12"/>
      <name val="Times New Roman"/>
      <family val="1"/>
    </font>
    <font>
      <sz val="10"/>
      <color indexed="24"/>
      <name val="Arial"/>
      <family val="2"/>
    </font>
    <font>
      <sz val="8"/>
      <color indexed="17"/>
      <name val="Arial"/>
      <family val="2"/>
    </font>
    <font>
      <sz val="18"/>
      <name val="Times New Roman"/>
      <family val="1"/>
    </font>
    <font>
      <b/>
      <sz val="13"/>
      <name val="Times New Roman"/>
      <family val="1"/>
    </font>
    <font>
      <b/>
      <i/>
      <sz val="12"/>
      <name val="Times New Roman"/>
      <family val="1"/>
    </font>
    <font>
      <i/>
      <sz val="12"/>
      <name val="Times New Roman"/>
      <family val="1"/>
    </font>
    <font>
      <b/>
      <sz val="10"/>
      <color indexed="18"/>
      <name val="Arial"/>
      <family val="2"/>
    </font>
    <font>
      <b/>
      <sz val="18"/>
      <name val="Helvetica"/>
      <family val="2"/>
    </font>
    <font>
      <sz val="8"/>
      <color indexed="47"/>
      <name val="Arial"/>
      <family val="2"/>
    </font>
    <font>
      <sz val="14"/>
      <name val="Helvetica"/>
      <family val="2"/>
    </font>
    <font>
      <sz val="8"/>
      <color indexed="40"/>
      <name val="Arial"/>
      <family val="2"/>
    </font>
    <font>
      <sz val="8"/>
      <color indexed="10"/>
      <name val="Arial"/>
      <family val="2"/>
    </font>
    <font>
      <sz val="10"/>
      <color indexed="54"/>
      <name val="Arial"/>
      <family val="2"/>
    </font>
    <font>
      <sz val="9"/>
      <color indexed="8"/>
      <name val="Arial"/>
      <family val="2"/>
    </font>
    <font>
      <sz val="10"/>
      <name val="Times New Roman"/>
      <family val="1"/>
    </font>
    <font>
      <sz val="8"/>
      <name val="Arial"/>
      <family val="2"/>
    </font>
    <font>
      <sz val="8"/>
      <name val="Helvetica"/>
      <family val="2"/>
    </font>
    <font>
      <sz val="10"/>
      <color indexed="19"/>
      <name val="Arial"/>
      <family val="2"/>
    </font>
    <font>
      <b/>
      <sz val="16"/>
      <color indexed="24"/>
      <name val="Univers 45 Light"/>
      <family val="2"/>
    </font>
    <font>
      <b/>
      <sz val="10"/>
      <name val="Helv"/>
    </font>
    <font>
      <sz val="10"/>
      <color indexed="10"/>
      <name val="Arial"/>
      <family val="2"/>
    </font>
    <font>
      <b/>
      <sz val="10"/>
      <color indexed="57"/>
      <name val="Arial"/>
      <family val="2"/>
    </font>
    <font>
      <b/>
      <sz val="24"/>
      <name val="Helvetica"/>
      <family val="2"/>
    </font>
    <font>
      <sz val="10"/>
      <name val="Garamond"/>
      <family val="1"/>
    </font>
    <font>
      <sz val="10"/>
      <color rgb="FF0000FF"/>
      <name val="Arial"/>
      <family val="2"/>
    </font>
    <font>
      <b/>
      <u/>
      <sz val="11"/>
      <name val="Arial"/>
      <family val="2"/>
    </font>
    <font>
      <b/>
      <sz val="9"/>
      <name val="Arial"/>
      <family val="2"/>
    </font>
    <font>
      <sz val="8"/>
      <name val="Times New Roman"/>
      <family val="1"/>
    </font>
    <font>
      <b/>
      <sz val="8"/>
      <name val="Arial"/>
      <family val="2"/>
    </font>
    <font>
      <sz val="9"/>
      <name val="Arial"/>
      <family val="2"/>
    </font>
    <font>
      <b/>
      <u/>
      <sz val="11"/>
      <color theme="1"/>
      <name val="Arial"/>
      <family val="2"/>
    </font>
    <font>
      <sz val="14"/>
      <name val="Arial"/>
      <family val="2"/>
    </font>
    <font>
      <sz val="14"/>
      <color rgb="FF0000FF"/>
      <name val="Arial"/>
      <family val="2"/>
    </font>
    <font>
      <b/>
      <u/>
      <sz val="18"/>
      <name val="Arial"/>
      <family val="2"/>
    </font>
    <font>
      <b/>
      <sz val="9.5"/>
      <color indexed="10"/>
      <name val="MS Sans Serif"/>
      <family val="2"/>
    </font>
    <font>
      <sz val="8"/>
      <color indexed="21"/>
      <name val="Times New Roman"/>
      <family val="1"/>
    </font>
    <font>
      <sz val="8"/>
      <color indexed="57"/>
      <name val="Times New Roman"/>
      <family val="1"/>
    </font>
    <font>
      <sz val="11"/>
      <color theme="1"/>
      <name val="Palatino Linotype"/>
      <family val="2"/>
    </font>
    <font>
      <sz val="8"/>
      <color indexed="8"/>
      <name val="Times New Roman"/>
      <family val="1"/>
    </font>
    <font>
      <b/>
      <i/>
      <sz val="10"/>
      <name val="Times New Roman"/>
      <family val="1"/>
    </font>
    <font>
      <b/>
      <i/>
      <sz val="10"/>
      <name val="Arial"/>
      <family val="2"/>
    </font>
    <font>
      <sz val="10"/>
      <color indexed="8"/>
      <name val="Arial"/>
      <family val="2"/>
    </font>
    <font>
      <b/>
      <sz val="10"/>
      <color indexed="10"/>
      <name val="Arial"/>
      <family val="2"/>
    </font>
    <font>
      <sz val="10"/>
      <color rgb="FF1B3FF1"/>
      <name val="Arial"/>
      <family val="2"/>
    </font>
    <font>
      <b/>
      <vertAlign val="superscript"/>
      <sz val="11"/>
      <name val="Arial"/>
      <family val="2"/>
    </font>
    <font>
      <sz val="10"/>
      <color theme="0"/>
      <name val="Arial"/>
      <family val="2"/>
    </font>
    <font>
      <i/>
      <sz val="10"/>
      <name val="Arial"/>
      <family val="2"/>
    </font>
    <font>
      <b/>
      <vertAlign val="superscript"/>
      <sz val="10"/>
      <name val="Arial"/>
      <family val="2"/>
    </font>
    <font>
      <b/>
      <sz val="14"/>
      <color rgb="FF1B3FF1"/>
      <name val="Arial"/>
      <family val="2"/>
    </font>
  </fonts>
  <fills count="6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61"/>
        <bgColor indexed="64"/>
      </patternFill>
    </fill>
    <fill>
      <patternFill patternType="solid">
        <fgColor indexed="42"/>
        <bgColor indexed="64"/>
      </patternFill>
    </fill>
    <fill>
      <patternFill patternType="solid">
        <fgColor indexed="11"/>
        <bgColor indexed="64"/>
      </patternFill>
    </fill>
    <fill>
      <patternFill patternType="solid">
        <fgColor indexed="5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27"/>
        <bgColor indexed="64"/>
      </patternFill>
    </fill>
    <fill>
      <patternFill patternType="solid">
        <fgColor indexed="28"/>
        <bgColor indexed="64"/>
      </patternFill>
    </fill>
    <fill>
      <patternFill patternType="solid">
        <fgColor indexed="22"/>
        <bgColor indexed="22"/>
      </patternFill>
    </fill>
    <fill>
      <patternFill patternType="solid">
        <fgColor indexed="31"/>
        <bgColor indexed="64"/>
      </patternFill>
    </fill>
    <fill>
      <patternFill patternType="solid">
        <fgColor indexed="29"/>
        <bgColor indexed="64"/>
      </patternFill>
    </fill>
    <fill>
      <patternFill patternType="solid">
        <fgColor indexed="14"/>
        <bgColor indexed="64"/>
      </patternFill>
    </fill>
    <fill>
      <patternFill patternType="gray0625">
        <fgColor indexed="23"/>
        <bgColor indexed="9"/>
      </patternFill>
    </fill>
    <fill>
      <patternFill patternType="solid">
        <fgColor indexed="30"/>
        <bgColor indexed="64"/>
      </patternFill>
    </fill>
    <fill>
      <patternFill patternType="mediumGray">
        <fgColor indexed="11"/>
      </patternFill>
    </fill>
    <fill>
      <patternFill patternType="solid">
        <fgColor indexed="58"/>
        <bgColor indexed="64"/>
      </patternFill>
    </fill>
    <fill>
      <patternFill patternType="solid">
        <fgColor indexed="24"/>
        <bgColor indexed="64"/>
      </patternFill>
    </fill>
    <fill>
      <patternFill patternType="darkUp">
        <fgColor indexed="8"/>
        <bgColor indexed="13"/>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indexed="23"/>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dashed">
        <color indexed="63"/>
      </left>
      <right style="dashed">
        <color indexed="63"/>
      </right>
      <top style="dashed">
        <color indexed="63"/>
      </top>
      <bottom style="dashed">
        <color indexed="63"/>
      </bottom>
      <diagonal/>
    </border>
    <border>
      <left style="dashed">
        <color indexed="28"/>
      </left>
      <right style="dashed">
        <color indexed="28"/>
      </right>
      <top style="dashed">
        <color indexed="28"/>
      </top>
      <bottom style="dashed">
        <color indexed="28"/>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dotted">
        <color indexed="28"/>
      </left>
      <right style="dotted">
        <color indexed="28"/>
      </right>
      <top style="dotted">
        <color indexed="28"/>
      </top>
      <bottom style="dotted">
        <color indexed="28"/>
      </bottom>
      <diagonal/>
    </border>
    <border>
      <left style="dashed">
        <color indexed="55"/>
      </left>
      <right style="dashed">
        <color indexed="55"/>
      </right>
      <top style="dashed">
        <color indexed="55"/>
      </top>
      <bottom style="dashed">
        <color indexed="55"/>
      </bottom>
      <diagonal/>
    </border>
    <border>
      <left style="hair">
        <color indexed="12"/>
      </left>
      <right style="hair">
        <color indexed="12"/>
      </right>
      <top style="hair">
        <color indexed="12"/>
      </top>
      <bottom style="hair">
        <color indexed="12"/>
      </bottom>
      <diagonal/>
    </border>
    <border>
      <left style="thin">
        <color indexed="54"/>
      </left>
      <right style="thin">
        <color indexed="54"/>
      </right>
      <top style="thin">
        <color indexed="54"/>
      </top>
      <bottom style="thin">
        <color indexed="54"/>
      </bottom>
      <diagonal/>
    </border>
    <border>
      <left style="dotted">
        <color indexed="10"/>
      </left>
      <right style="dotted">
        <color indexed="10"/>
      </right>
      <top style="dotted">
        <color indexed="10"/>
      </top>
      <bottom style="dotted">
        <color indexed="10"/>
      </bottom>
      <diagonal/>
    </border>
    <border>
      <left style="thin">
        <color indexed="64"/>
      </left>
      <right style="thin">
        <color indexed="64"/>
      </right>
      <top style="thick">
        <color indexed="64"/>
      </top>
      <bottom style="hair">
        <color indexed="64"/>
      </bottom>
      <diagonal/>
    </border>
    <border>
      <left/>
      <right/>
      <top style="thin">
        <color indexed="19"/>
      </top>
      <bottom/>
      <diagonal/>
    </border>
    <border>
      <left style="thin">
        <color indexed="64"/>
      </left>
      <right style="thin">
        <color indexed="64"/>
      </right>
      <top style="hair">
        <color indexed="64"/>
      </top>
      <bottom style="hair">
        <color indexed="64"/>
      </bottom>
      <diagonal/>
    </border>
    <border>
      <left/>
      <right/>
      <top style="thin">
        <color indexed="19"/>
      </top>
      <bottom style="double">
        <color indexed="19"/>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s>
  <cellStyleXfs count="491">
    <xf numFmtId="0" fontId="0" fillId="0" borderId="0"/>
    <xf numFmtId="164" fontId="6" fillId="0" borderId="0" applyNumberFormat="0" applyFill="0" applyBorder="0" applyAlignment="0" applyProtection="0">
      <alignment horizontal="left"/>
    </xf>
    <xf numFmtId="0" fontId="4" fillId="0" borderId="0"/>
    <xf numFmtId="164" fontId="6"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5" fontId="6"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168" fontId="6" fillId="0" borderId="0" applyFont="0" applyFill="0" applyBorder="0" applyAlignment="0" applyProtection="0"/>
    <xf numFmtId="15" fontId="6" fillId="0" borderId="0" applyFont="0" applyFill="0" applyBorder="0" applyAlignment="0" applyProtection="0"/>
    <xf numFmtId="0" fontId="4" fillId="0" borderId="0"/>
    <xf numFmtId="164" fontId="6" fillId="0" borderId="0" applyNumberFormat="0" applyFill="0" applyBorder="0" applyAlignment="0" applyProtection="0">
      <alignment horizontal="left"/>
    </xf>
    <xf numFmtId="0" fontId="4" fillId="0" borderId="0"/>
    <xf numFmtId="0" fontId="4" fillId="0" borderId="0"/>
    <xf numFmtId="164" fontId="6" fillId="0" borderId="0" applyNumberFormat="0" applyFill="0" applyBorder="0" applyAlignment="0" applyProtection="0">
      <alignment horizontal="left"/>
    </xf>
    <xf numFmtId="0" fontId="4" fillId="0" borderId="0"/>
    <xf numFmtId="168" fontId="6" fillId="0" borderId="0" applyFont="0" applyFill="0" applyBorder="0" applyAlignment="0" applyProtection="0">
      <alignment horizontal="left"/>
    </xf>
    <xf numFmtId="9" fontId="8" fillId="0" borderId="0" applyFont="0" applyFill="0" applyBorder="0" applyAlignment="0" applyProtection="0"/>
    <xf numFmtId="0" fontId="10" fillId="2" borderId="2">
      <alignment horizontal="centerContinuous"/>
    </xf>
    <xf numFmtId="0" fontId="9" fillId="0" borderId="3" applyNumberFormat="0" applyFont="0" applyFill="0" applyAlignment="0" applyProtection="0"/>
    <xf numFmtId="9" fontId="4" fillId="0" borderId="0" applyFont="0" applyFill="0" applyBorder="0" applyAlignment="0" applyProtection="0"/>
    <xf numFmtId="43" fontId="4" fillId="0" borderId="0" applyFont="0" applyFill="0" applyBorder="0" applyAlignment="0" applyProtection="0"/>
    <xf numFmtId="169" fontId="11" fillId="0" borderId="1" applyFont="0" applyFill="0" applyBorder="0" applyAlignment="0" applyProtection="0">
      <protection locked="0"/>
    </xf>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169" fontId="11" fillId="0" borderId="1" applyFont="0" applyFill="0" applyBorder="0" applyAlignment="0" applyProtection="0">
      <protection locked="0"/>
    </xf>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10" fillId="2" borderId="5">
      <alignment horizontal="centerContinuous"/>
    </xf>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4" fillId="0" borderId="0"/>
    <xf numFmtId="0" fontId="16" fillId="10"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20" fillId="28" borderId="6" applyNumberFormat="0" applyAlignment="0" applyProtection="0"/>
    <xf numFmtId="0" fontId="20" fillId="28" borderId="6" applyNumberFormat="0" applyAlignment="0" applyProtection="0"/>
    <xf numFmtId="0" fontId="21" fillId="29" borderId="7" applyNumberFormat="0" applyAlignment="0" applyProtection="0"/>
    <xf numFmtId="0" fontId="21" fillId="29" borderId="7" applyNumberFormat="0" applyAlignment="0" applyProtection="0"/>
    <xf numFmtId="43" fontId="4" fillId="0" borderId="0" applyFont="0" applyFill="0" applyBorder="0" applyAlignment="0" applyProtection="0"/>
    <xf numFmtId="43" fontId="17" fillId="0" borderId="0" applyFont="0" applyFill="0" applyBorder="0" applyAlignment="0" applyProtection="0"/>
    <xf numFmtId="43" fontId="16"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4" fillId="0" borderId="8"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5" borderId="6" applyNumberFormat="0" applyAlignment="0" applyProtection="0"/>
    <xf numFmtId="0" fontId="27" fillId="15" borderId="6" applyNumberFormat="0" applyAlignment="0" applyProtection="0"/>
    <xf numFmtId="0" fontId="28" fillId="0" borderId="11" applyNumberFormat="0" applyFill="0" applyAlignment="0" applyProtection="0"/>
    <xf numFmtId="0" fontId="28" fillId="0" borderId="11" applyNumberFormat="0" applyFill="0" applyAlignment="0" applyProtection="0"/>
    <xf numFmtId="0" fontId="29" fillId="30" borderId="0" applyNumberFormat="0" applyBorder="0" applyAlignment="0" applyProtection="0"/>
    <xf numFmtId="0" fontId="29" fillId="30" borderId="0" applyNumberFormat="0" applyBorder="0" applyAlignment="0" applyProtection="0"/>
    <xf numFmtId="0" fontId="3" fillId="0" borderId="0"/>
    <xf numFmtId="0" fontId="16" fillId="0" borderId="0"/>
    <xf numFmtId="170" fontId="16" fillId="0" borderId="0"/>
    <xf numFmtId="0" fontId="3" fillId="0" borderId="0"/>
    <xf numFmtId="0" fontId="4" fillId="0" borderId="0"/>
    <xf numFmtId="0" fontId="35" fillId="0" borderId="0"/>
    <xf numFmtId="0" fontId="3" fillId="0" borderId="0"/>
    <xf numFmtId="0" fontId="4" fillId="31" borderId="12" applyNumberFormat="0" applyFont="0" applyAlignment="0" applyProtection="0"/>
    <xf numFmtId="0" fontId="4" fillId="31" borderId="12" applyNumberFormat="0" applyFont="0" applyAlignment="0" applyProtection="0"/>
    <xf numFmtId="0" fontId="30" fillId="28" borderId="13" applyNumberFormat="0" applyAlignment="0" applyProtection="0"/>
    <xf numFmtId="0" fontId="30" fillId="28" borderId="13" applyNumberFormat="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0" fontId="34" fillId="0" borderId="0"/>
    <xf numFmtId="0" fontId="31" fillId="0" borderId="0" applyNumberFormat="0" applyFill="0" applyBorder="0" applyAlignment="0" applyProtection="0"/>
    <xf numFmtId="0" fontId="31" fillId="0" borderId="0" applyNumberFormat="0" applyFill="0" applyBorder="0" applyAlignment="0" applyProtection="0"/>
    <xf numFmtId="0" fontId="32" fillId="0" borderId="14" applyNumberFormat="0" applyFill="0" applyAlignment="0" applyProtection="0"/>
    <xf numFmtId="0" fontId="32" fillId="0" borderId="1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6" fillId="0" borderId="0"/>
    <xf numFmtId="0" fontId="3" fillId="0" borderId="0"/>
    <xf numFmtId="0" fontId="3" fillId="0" borderId="0"/>
    <xf numFmtId="44" fontId="3" fillId="0" borderId="0" applyFon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3" fillId="0" borderId="0"/>
    <xf numFmtId="0" fontId="37" fillId="0" borderId="0"/>
    <xf numFmtId="171" fontId="38" fillId="5" borderId="0" applyBorder="0">
      <alignment horizontal="center"/>
      <protection locked="0"/>
    </xf>
    <xf numFmtId="171" fontId="38" fillId="0" borderId="0" applyFill="0" applyBorder="0">
      <alignment horizontal="center"/>
    </xf>
    <xf numFmtId="0" fontId="4" fillId="0" borderId="0" applyNumberFormat="0" applyFill="0" applyBorder="0" applyAlignment="0" applyProtection="0"/>
    <xf numFmtId="0" fontId="39" fillId="0" borderId="0" applyFont="0" applyFill="0" applyBorder="0" applyAlignment="0" applyProtection="0"/>
    <xf numFmtId="0" fontId="4" fillId="0" borderId="0" applyFont="0" applyFill="0" applyBorder="0" applyAlignment="0" applyProtection="0"/>
    <xf numFmtId="172" fontId="38" fillId="5" borderId="0" applyBorder="0">
      <alignment horizontal="center"/>
      <protection locked="0"/>
    </xf>
    <xf numFmtId="172" fontId="38" fillId="0" borderId="0" applyFill="0" applyBorder="0">
      <alignment horizontal="center"/>
    </xf>
    <xf numFmtId="173" fontId="38" fillId="5" borderId="0" applyBorder="0">
      <alignment horizontal="center"/>
      <protection locked="0"/>
    </xf>
    <xf numFmtId="173" fontId="38" fillId="0" borderId="0" applyFill="0" applyBorder="0">
      <alignment horizontal="center"/>
    </xf>
    <xf numFmtId="0" fontId="4" fillId="0" borderId="0"/>
    <xf numFmtId="0" fontId="40" fillId="0" borderId="15">
      <alignment horizontal="center" vertical="center"/>
    </xf>
    <xf numFmtId="0" fontId="41" fillId="4" borderId="15"/>
    <xf numFmtId="0" fontId="42" fillId="0" borderId="0" applyFont="0" applyFill="0" applyBorder="0" applyAlignment="0" applyProtection="0"/>
    <xf numFmtId="174" fontId="43" fillId="4" borderId="15" applyBorder="0"/>
    <xf numFmtId="0" fontId="41" fillId="4" borderId="15">
      <alignment horizontal="center"/>
      <protection locked="0"/>
    </xf>
    <xf numFmtId="175" fontId="44" fillId="0" borderId="0" applyNumberFormat="0" applyFont="0" applyAlignment="0">
      <alignment vertical="top"/>
    </xf>
    <xf numFmtId="0" fontId="45" fillId="0" borderId="0"/>
    <xf numFmtId="176" fontId="46" fillId="32" borderId="2">
      <alignment horizontal="center"/>
    </xf>
    <xf numFmtId="177" fontId="4" fillId="33" borderId="16" applyNumberFormat="0">
      <alignment vertical="center"/>
    </xf>
    <xf numFmtId="178" fontId="4" fillId="3" borderId="16" applyNumberFormat="0">
      <alignment vertical="center"/>
    </xf>
    <xf numFmtId="1" fontId="4" fillId="34" borderId="16" applyNumberFormat="0">
      <alignment vertical="center"/>
    </xf>
    <xf numFmtId="177" fontId="4" fillId="34" borderId="16" applyNumberFormat="0">
      <alignment vertical="center"/>
    </xf>
    <xf numFmtId="177" fontId="4" fillId="2" borderId="16" applyNumberFormat="0">
      <alignment vertical="center"/>
    </xf>
    <xf numFmtId="179" fontId="47" fillId="0" borderId="0"/>
    <xf numFmtId="3" fontId="4" fillId="0" borderId="16" applyNumberFormat="0">
      <alignment vertical="center"/>
    </xf>
    <xf numFmtId="180" fontId="15" fillId="35" borderId="16" applyNumberFormat="0" applyFont="0" applyAlignment="0">
      <alignment vertical="center"/>
    </xf>
    <xf numFmtId="177" fontId="15" fillId="36" borderId="16" applyNumberFormat="0">
      <alignment vertical="center"/>
    </xf>
    <xf numFmtId="181" fontId="48" fillId="0" borderId="0" applyFill="0" applyBorder="0" applyProtection="0">
      <alignment horizontal="center" vertical="center"/>
    </xf>
    <xf numFmtId="182" fontId="49" fillId="5" borderId="17">
      <alignment horizontal="center" vertical="center"/>
      <protection locked="0"/>
    </xf>
    <xf numFmtId="182" fontId="50" fillId="0" borderId="0" applyFill="0" applyBorder="0">
      <alignment horizontal="center" vertical="center"/>
    </xf>
    <xf numFmtId="0" fontId="51" fillId="0" borderId="0" applyNumberFormat="0">
      <alignment horizontal="center" wrapText="1"/>
    </xf>
    <xf numFmtId="183" fontId="4" fillId="0" borderId="0" applyFont="0" applyFill="0" applyBorder="0" applyAlignment="0" applyProtection="0"/>
    <xf numFmtId="43" fontId="37" fillId="0" borderId="0" applyFont="0" applyFill="0" applyBorder="0" applyAlignment="0" applyProtection="0"/>
    <xf numFmtId="0" fontId="4" fillId="0" borderId="18" applyFont="0" applyFill="0" applyBorder="0" applyAlignment="0" applyProtection="0">
      <alignment horizontal="right"/>
    </xf>
    <xf numFmtId="0" fontId="52" fillId="0" borderId="0" applyFill="0" applyBorder="0"/>
    <xf numFmtId="177" fontId="53" fillId="37" borderId="0" applyFont="0" applyAlignment="0">
      <alignment vertical="center" wrapText="1"/>
    </xf>
    <xf numFmtId="177" fontId="12" fillId="37" borderId="2" applyNumberFormat="0" applyBorder="0" applyAlignment="0">
      <alignment vertical="center" wrapText="1"/>
    </xf>
    <xf numFmtId="0" fontId="54" fillId="0" borderId="0"/>
    <xf numFmtId="0" fontId="54" fillId="0" borderId="0"/>
    <xf numFmtId="38" fontId="55" fillId="4" borderId="19"/>
    <xf numFmtId="0" fontId="4" fillId="0" borderId="0" applyFont="0" applyFill="0" applyBorder="0" applyAlignment="0" applyProtection="0"/>
    <xf numFmtId="184" fontId="4" fillId="38" borderId="0" applyNumberFormat="0" applyFont="0" applyBorder="0" applyAlignment="0" applyProtection="0"/>
    <xf numFmtId="185" fontId="4" fillId="0" borderId="0" applyFont="0" applyFill="0" applyBorder="0" applyAlignment="0" applyProtection="0"/>
    <xf numFmtId="186" fontId="4" fillId="0" borderId="0" applyFont="0" applyFill="0" applyBorder="0" applyAlignment="0" applyProtection="0"/>
    <xf numFmtId="187" fontId="56" fillId="0" borderId="0" applyFill="0" applyBorder="0">
      <alignment horizontal="center" vertical="center"/>
    </xf>
    <xf numFmtId="188" fontId="4" fillId="0" borderId="0" applyFont="0" applyFill="0" applyBorder="0" applyAlignment="0" applyProtection="0"/>
    <xf numFmtId="0" fontId="4" fillId="9" borderId="20" applyNumberFormat="0">
      <alignment vertical="center"/>
    </xf>
    <xf numFmtId="189" fontId="4" fillId="7" borderId="0" applyNumberFormat="0" applyFont="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190" fontId="59" fillId="0" borderId="0">
      <alignment horizontal="right" vertical="top"/>
    </xf>
    <xf numFmtId="191" fontId="60" fillId="0" borderId="0">
      <alignment horizontal="right" vertical="top"/>
    </xf>
    <xf numFmtId="0" fontId="59" fillId="0" borderId="0">
      <alignment horizontal="right" vertical="top"/>
    </xf>
    <xf numFmtId="0" fontId="60" fillId="0" borderId="0" applyFill="0" applyBorder="0">
      <alignment horizontal="right" vertical="top"/>
    </xf>
    <xf numFmtId="192" fontId="60" fillId="0" borderId="0" applyFill="0" applyBorder="0">
      <alignment horizontal="right" vertical="top"/>
    </xf>
    <xf numFmtId="193" fontId="60" fillId="0" borderId="0" applyFill="0" applyBorder="0">
      <alignment horizontal="right" vertical="top"/>
    </xf>
    <xf numFmtId="194" fontId="60" fillId="0" borderId="0" applyFill="0" applyBorder="0">
      <alignment horizontal="right" vertical="top"/>
    </xf>
    <xf numFmtId="0" fontId="61" fillId="0" borderId="0">
      <alignment horizontal="center" wrapText="1"/>
    </xf>
    <xf numFmtId="195" fontId="62" fillId="0" borderId="0" applyFill="0" applyBorder="0">
      <alignment vertical="top"/>
    </xf>
    <xf numFmtId="195" fontId="63" fillId="0" borderId="0" applyFill="0" applyBorder="0" applyProtection="0">
      <alignment vertical="top"/>
    </xf>
    <xf numFmtId="195" fontId="64" fillId="0" borderId="0">
      <alignment vertical="top"/>
    </xf>
    <xf numFmtId="185" fontId="60" fillId="0" borderId="0" applyFill="0" applyBorder="0" applyAlignment="0" applyProtection="0">
      <alignment horizontal="right" vertical="top"/>
    </xf>
    <xf numFmtId="195" fontId="12" fillId="0" borderId="0"/>
    <xf numFmtId="0" fontId="60" fillId="0" borderId="0" applyFill="0" applyBorder="0">
      <alignment horizontal="left" vertical="top"/>
    </xf>
    <xf numFmtId="196" fontId="4" fillId="0" borderId="0" applyFont="0" applyFill="0" applyBorder="0" applyAlignment="0" applyProtection="0"/>
    <xf numFmtId="180" fontId="5" fillId="0" borderId="0">
      <alignment vertical="top"/>
    </xf>
    <xf numFmtId="0" fontId="4" fillId="2" borderId="13" applyNumberFormat="0">
      <alignment vertical="center"/>
    </xf>
    <xf numFmtId="0" fontId="65" fillId="0" borderId="0" applyNumberFormat="0" applyFill="0" applyBorder="0" applyAlignment="0" applyProtection="0"/>
    <xf numFmtId="0" fontId="54" fillId="0" borderId="0"/>
    <xf numFmtId="184" fontId="66" fillId="0" borderId="0" applyNumberFormat="0" applyFill="0" applyBorder="0" applyAlignment="0" applyProtection="0"/>
    <xf numFmtId="0" fontId="15" fillId="0" borderId="0"/>
    <xf numFmtId="179" fontId="15" fillId="0" borderId="0"/>
    <xf numFmtId="0" fontId="67" fillId="2" borderId="21" applyNumberFormat="0">
      <alignment vertical="center"/>
    </xf>
    <xf numFmtId="189" fontId="13" fillId="0" borderId="0" applyNumberFormat="0" applyFill="0" applyBorder="0" applyAlignment="0" applyProtection="0"/>
    <xf numFmtId="0" fontId="68" fillId="39" borderId="0"/>
    <xf numFmtId="0" fontId="69" fillId="0" borderId="0" applyFill="0" applyBorder="0" applyProtection="0">
      <alignment horizontal="right"/>
    </xf>
    <xf numFmtId="197" fontId="58" fillId="0" borderId="0" applyFont="0" applyBorder="0" applyAlignment="0"/>
    <xf numFmtId="180" fontId="70" fillId="0" borderId="0">
      <alignment vertical="top"/>
    </xf>
    <xf numFmtId="0" fontId="71" fillId="4" borderId="22"/>
    <xf numFmtId="177" fontId="72" fillId="4" borderId="17" applyNumberFormat="0">
      <alignment vertical="center"/>
      <protection locked="0"/>
    </xf>
    <xf numFmtId="0" fontId="72" fillId="40" borderId="17" applyNumberFormat="0">
      <alignment vertical="center"/>
      <protection locked="0"/>
    </xf>
    <xf numFmtId="0" fontId="4" fillId="4" borderId="23" applyNumberFormat="0" applyAlignment="0">
      <protection locked="0"/>
    </xf>
    <xf numFmtId="0" fontId="73" fillId="0" borderId="0" applyNumberFormat="0" applyFill="0" applyBorder="0" applyProtection="0">
      <alignment horizontal="centerContinuous" wrapText="1"/>
    </xf>
    <xf numFmtId="38" fontId="74" fillId="0" borderId="0"/>
    <xf numFmtId="38" fontId="75" fillId="0" borderId="0"/>
    <xf numFmtId="38" fontId="76" fillId="0" borderId="0"/>
    <xf numFmtId="38" fontId="77" fillId="0" borderId="0"/>
    <xf numFmtId="0" fontId="38" fillId="0" borderId="0"/>
    <xf numFmtId="0" fontId="38" fillId="0" borderId="0"/>
    <xf numFmtId="180" fontId="78" fillId="0" borderId="0" applyFont="0">
      <alignment vertical="top"/>
    </xf>
    <xf numFmtId="0" fontId="79" fillId="0" borderId="0" applyNumberFormat="0" applyFill="0" applyBorder="0" applyAlignment="0" applyProtection="0"/>
    <xf numFmtId="198" fontId="80" fillId="0" borderId="0" applyFill="0">
      <alignment horizontal="center"/>
    </xf>
    <xf numFmtId="0" fontId="81" fillId="0" borderId="0" applyNumberForma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82" fillId="0" borderId="0" applyNumberFormat="0" applyFill="0">
      <alignment vertical="center"/>
    </xf>
    <xf numFmtId="0" fontId="4" fillId="0" borderId="0" applyFont="0" applyFill="0" applyBorder="0" applyAlignment="0" applyProtection="0"/>
    <xf numFmtId="0" fontId="4" fillId="0" borderId="0" applyFont="0" applyFill="0" applyBorder="0" applyAlignment="0" applyProtection="0"/>
    <xf numFmtId="0" fontId="72" fillId="33" borderId="24" applyNumberFormat="0" applyFont="0" applyFill="0" applyAlignment="0" applyProtection="0">
      <alignment vertical="center"/>
      <protection locked="0"/>
    </xf>
    <xf numFmtId="0" fontId="83" fillId="0" borderId="0" applyNumberFormat="0" applyBorder="0">
      <alignment horizontal="left" vertical="top"/>
    </xf>
    <xf numFmtId="0" fontId="72" fillId="33" borderId="24" applyNumberFormat="0" applyFont="0" applyFill="0" applyAlignment="0" applyProtection="0">
      <alignment vertical="center"/>
      <protection locked="0"/>
    </xf>
    <xf numFmtId="0" fontId="37" fillId="0" borderId="0"/>
    <xf numFmtId="0" fontId="3" fillId="0" borderId="0"/>
    <xf numFmtId="0" fontId="4" fillId="0" borderId="0"/>
    <xf numFmtId="0" fontId="4" fillId="0" borderId="0"/>
    <xf numFmtId="189" fontId="84" fillId="0" borderId="0" applyNumberFormat="0" applyFill="0" applyBorder="0" applyAlignment="0" applyProtection="0"/>
    <xf numFmtId="199" fontId="4" fillId="0" borderId="0" applyFont="0" applyFill="0" applyBorder="0" applyAlignment="0" applyProtection="0"/>
    <xf numFmtId="0" fontId="4" fillId="0" borderId="15"/>
    <xf numFmtId="0" fontId="4" fillId="0" borderId="0" applyFont="0" applyFill="0" applyBorder="0" applyAlignment="0" applyProtection="0"/>
    <xf numFmtId="14" fontId="4" fillId="0" borderId="0" applyFont="0" applyFill="0" applyBorder="0" applyAlignment="0" applyProtection="0"/>
    <xf numFmtId="0" fontId="4" fillId="0" borderId="0" applyFont="0" applyFill="0" applyBorder="0" applyAlignment="0" applyProtection="0"/>
    <xf numFmtId="174" fontId="85" fillId="0" borderId="15" applyBorder="0"/>
    <xf numFmtId="1" fontId="4" fillId="0" borderId="0" applyFont="0" applyFill="0" applyBorder="0" applyAlignment="0" applyProtection="0"/>
    <xf numFmtId="0" fontId="54" fillId="0" borderId="0"/>
    <xf numFmtId="9" fontId="86" fillId="0" borderId="0" applyFont="0" applyFill="0" applyBorder="0" applyAlignment="0" applyProtection="0"/>
    <xf numFmtId="10" fontId="86" fillId="0" borderId="0" applyFont="0" applyFill="0" applyBorder="0" applyAlignment="0" applyProtection="0"/>
    <xf numFmtId="9" fontId="86" fillId="0" borderId="0" applyFont="0" applyFill="0" applyBorder="0" applyAlignment="0" applyProtection="0"/>
    <xf numFmtId="0" fontId="87" fillId="41" borderId="25" applyNumberFormat="0" applyFont="0" applyBorder="0" applyAlignment="0" applyProtection="0"/>
    <xf numFmtId="0" fontId="4" fillId="0" borderId="0" applyFill="0" applyBorder="0" applyProtection="0">
      <alignment vertical="center"/>
    </xf>
    <xf numFmtId="177" fontId="53" fillId="37" borderId="0">
      <alignment vertical="center"/>
    </xf>
    <xf numFmtId="177" fontId="44" fillId="6" borderId="0"/>
    <xf numFmtId="0" fontId="88" fillId="0" borderId="0" applyNumberFormat="0" applyFill="0" applyBorder="0" applyAlignment="0" applyProtection="0"/>
    <xf numFmtId="0" fontId="15" fillId="8" borderId="16" applyNumberFormat="0">
      <alignment horizontal="center" vertical="center"/>
      <protection locked="0"/>
    </xf>
    <xf numFmtId="0" fontId="4" fillId="42" borderId="0"/>
    <xf numFmtId="0" fontId="4" fillId="0" borderId="0" applyNumberFormat="0" applyFill="0" applyBorder="0" applyAlignment="0" applyProtection="0"/>
    <xf numFmtId="0" fontId="58" fillId="0" borderId="3" applyFont="0" applyFill="0" applyAlignment="0" applyProtection="0"/>
    <xf numFmtId="189" fontId="89" fillId="0" borderId="26" applyNumberFormat="0" applyFont="0" applyFill="0" applyAlignment="0" applyProtection="0"/>
    <xf numFmtId="0" fontId="87" fillId="0" borderId="27" applyNumberFormat="0" applyFont="0" applyFill="0" applyAlignment="0" applyProtection="0">
      <alignment horizontal="right"/>
    </xf>
    <xf numFmtId="0" fontId="58" fillId="0" borderId="0" applyFont="0" applyFill="0" applyBorder="0" applyAlignment="0" applyProtection="0"/>
    <xf numFmtId="177" fontId="53" fillId="43" borderId="0" applyNumberFormat="0">
      <alignment vertical="center"/>
    </xf>
    <xf numFmtId="177" fontId="90" fillId="33" borderId="0" applyNumberFormat="0">
      <alignment vertical="center"/>
    </xf>
    <xf numFmtId="177" fontId="14" fillId="0" borderId="0" applyNumberFormat="0">
      <alignment vertical="center"/>
    </xf>
    <xf numFmtId="177" fontId="44" fillId="0" borderId="0" applyNumberFormat="0">
      <alignment vertical="center"/>
    </xf>
    <xf numFmtId="0" fontId="91" fillId="0" borderId="0">
      <alignment vertical="center"/>
    </xf>
    <xf numFmtId="184" fontId="92" fillId="0" borderId="0" applyNumberFormat="0" applyFill="0" applyBorder="0" applyAlignment="0" applyProtection="0"/>
    <xf numFmtId="189" fontId="89" fillId="0" borderId="28" applyNumberFormat="0" applyFont="0" applyFill="0" applyAlignment="0" applyProtection="0"/>
    <xf numFmtId="0" fontId="58" fillId="0" borderId="4" applyFont="0" applyFill="0" applyAlignment="0" applyProtection="0"/>
    <xf numFmtId="177" fontId="15" fillId="44" borderId="0" applyNumberFormat="0" applyFont="0" applyBorder="0" applyAlignment="0" applyProtection="0"/>
    <xf numFmtId="0" fontId="93" fillId="0" borderId="0">
      <alignment vertical="center"/>
    </xf>
    <xf numFmtId="0" fontId="94" fillId="0" borderId="0" applyNumberFormat="0" applyFill="0" applyBorder="0" applyAlignment="0" applyProtection="0"/>
    <xf numFmtId="200" fontId="4" fillId="0" borderId="0" applyFont="0" applyFill="0" applyBorder="0" applyAlignment="0" applyProtection="0"/>
    <xf numFmtId="201" fontId="4" fillId="0" borderId="0" applyFont="0" applyFill="0" applyBorder="0" applyAlignment="0" applyProtection="0"/>
    <xf numFmtId="0" fontId="42" fillId="0" borderId="0"/>
    <xf numFmtId="0" fontId="4" fillId="18" borderId="0" applyNumberFormat="0" applyFont="0" applyBorder="0" applyAlignment="0" applyProtection="0"/>
    <xf numFmtId="0" fontId="4" fillId="0" borderId="0"/>
    <xf numFmtId="164" fontId="6" fillId="0" borderId="0" applyFont="0" applyFill="0" applyBorder="0" applyAlignment="0" applyProtection="0"/>
    <xf numFmtId="9" fontId="8" fillId="0" borderId="0" applyFont="0" applyFill="0" applyBorder="0" applyAlignment="0" applyProtection="0"/>
    <xf numFmtId="169" fontId="11" fillId="0" borderId="30" applyFont="0" applyFill="0" applyBorder="0" applyAlignment="0" applyProtection="0">
      <protection locked="0"/>
    </xf>
    <xf numFmtId="0" fontId="9" fillId="0" borderId="29" applyNumberFormat="0" applyFont="0" applyFill="0" applyAlignment="0" applyProtection="0"/>
    <xf numFmtId="9" fontId="8"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8" fillId="0" borderId="0" applyFont="0" applyFill="0" applyBorder="0" applyAlignment="0" applyProtection="0"/>
    <xf numFmtId="164"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77" fontId="12" fillId="37" borderId="5" applyNumberFormat="0" applyBorder="0" applyAlignment="0">
      <alignment vertical="center" wrapText="1"/>
    </xf>
    <xf numFmtId="0" fontId="58" fillId="0" borderId="29" applyFont="0" applyFill="0" applyAlignment="0" applyProtection="0"/>
    <xf numFmtId="164" fontId="6" fillId="0" borderId="0" applyFont="0" applyFill="0" applyBorder="0" applyAlignment="0" applyProtection="0"/>
    <xf numFmtId="0" fontId="95"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1" fillId="0" borderId="0"/>
    <xf numFmtId="9" fontId="7" fillId="0" borderId="0" applyFon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xf numFmtId="0" fontId="87" fillId="0" borderId="0" applyNumberFormat="0" applyFont="0" applyFill="0" applyBorder="0" applyAlignment="0">
      <protection locked="0"/>
    </xf>
    <xf numFmtId="0" fontId="87" fillId="16" borderId="0" applyNumberFormat="0" applyBorder="0" applyAlignment="0">
      <protection locked="0"/>
    </xf>
    <xf numFmtId="178" fontId="4" fillId="3" borderId="16" applyNumberFormat="0">
      <alignment vertical="center"/>
    </xf>
    <xf numFmtId="1" fontId="4" fillId="34" borderId="16" applyNumberFormat="0">
      <alignment vertical="center"/>
    </xf>
    <xf numFmtId="177" fontId="4" fillId="34" borderId="16" applyNumberFormat="0">
      <alignment vertical="center"/>
    </xf>
    <xf numFmtId="177" fontId="4" fillId="2" borderId="16" applyNumberFormat="0">
      <alignment vertical="center"/>
    </xf>
    <xf numFmtId="3" fontId="4" fillId="0" borderId="16" applyNumberFormat="0">
      <alignment vertical="center"/>
    </xf>
    <xf numFmtId="177" fontId="4" fillId="33" borderId="16" applyNumberFormat="0">
      <alignment vertical="center"/>
    </xf>
    <xf numFmtId="177" fontId="4" fillId="33" borderId="16" applyNumberFormat="0">
      <alignment vertical="center"/>
    </xf>
    <xf numFmtId="177" fontId="4" fillId="33" borderId="16" applyNumberFormat="0">
      <alignment vertical="center"/>
    </xf>
    <xf numFmtId="18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02" fontId="5" fillId="0" borderId="0" applyFont="0" applyFill="0" applyBorder="0" applyAlignment="0" applyProtection="0"/>
    <xf numFmtId="43" fontId="4" fillId="0" borderId="0" applyFont="0" applyFill="0" applyBorder="0" applyAlignment="0" applyProtection="0"/>
    <xf numFmtId="202" fontId="5" fillId="0" borderId="0" applyFont="0" applyFill="0" applyBorder="0" applyAlignment="0" applyProtection="0"/>
    <xf numFmtId="0" fontId="4" fillId="0" borderId="18" applyFont="0" applyFill="0" applyBorder="0" applyAlignment="0" applyProtection="0">
      <alignment horizontal="right"/>
    </xf>
    <xf numFmtId="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5" fontId="6"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4" fontId="4" fillId="0" borderId="0" applyFont="0" applyFill="0" applyBorder="0" applyAlignment="0" applyProtection="0"/>
    <xf numFmtId="204" fontId="4" fillId="0" borderId="0" applyFont="0" applyFill="0" applyBorder="0" applyAlignment="0" applyProtection="0"/>
    <xf numFmtId="184" fontId="4" fillId="38" borderId="0" applyNumberFormat="0" applyFont="0" applyBorder="0" applyAlignment="0" applyProtection="0"/>
    <xf numFmtId="188" fontId="4" fillId="0" borderId="0" applyFont="0" applyFill="0" applyBorder="0" applyAlignment="0" applyProtection="0"/>
    <xf numFmtId="0" fontId="4" fillId="9" borderId="20" applyNumberFormat="0">
      <alignment vertical="center"/>
    </xf>
    <xf numFmtId="189" fontId="4" fillId="7" borderId="0" applyNumberFormat="0" applyFont="0" applyBorder="0" applyAlignment="0" applyProtection="0"/>
    <xf numFmtId="205" fontId="4" fillId="0" borderId="0" applyFont="0" applyFill="0" applyBorder="0" applyAlignment="0" applyProtection="0"/>
    <xf numFmtId="205" fontId="4" fillId="0" borderId="0" applyFont="0" applyFill="0" applyBorder="0" applyAlignment="0" applyProtection="0"/>
    <xf numFmtId="196" fontId="4" fillId="0" borderId="0" applyFont="0" applyFill="0" applyBorder="0" applyAlignment="0" applyProtection="0"/>
    <xf numFmtId="0" fontId="4" fillId="2" borderId="13" applyNumberFormat="0">
      <alignment vertical="center"/>
    </xf>
    <xf numFmtId="2" fontId="4" fillId="0" borderId="0" applyFont="0" applyFill="0" applyBorder="0" applyAlignment="0" applyProtection="0"/>
    <xf numFmtId="2" fontId="4" fillId="0" borderId="0" applyFont="0" applyFill="0" applyBorder="0" applyAlignment="0" applyProtection="0"/>
    <xf numFmtId="0" fontId="99" fillId="0" borderId="0" applyFill="0" applyBorder="0" applyProtection="0">
      <alignment horizontal="left"/>
    </xf>
    <xf numFmtId="0" fontId="27" fillId="15" borderId="6" applyNumberFormat="0" applyAlignment="0" applyProtection="0"/>
    <xf numFmtId="0" fontId="27" fillId="15" borderId="6" applyNumberFormat="0" applyAlignment="0" applyProtection="0"/>
    <xf numFmtId="0" fontId="4" fillId="4" borderId="23" applyNumberFormat="0" applyAlignment="0">
      <protection locked="0"/>
    </xf>
    <xf numFmtId="0" fontId="1" fillId="0" borderId="0"/>
    <xf numFmtId="0" fontId="1" fillId="0" borderId="0"/>
    <xf numFmtId="0" fontId="1" fillId="0" borderId="0"/>
    <xf numFmtId="0" fontId="1" fillId="0" borderId="0"/>
    <xf numFmtId="0" fontId="1" fillId="0" borderId="0"/>
    <xf numFmtId="0" fontId="1" fillId="0" borderId="0"/>
    <xf numFmtId="164" fontId="6" fillId="0" borderId="0" applyNumberFormat="0" applyFill="0" applyBorder="0" applyAlignment="0" applyProtection="0">
      <alignment horizontal="left"/>
    </xf>
    <xf numFmtId="0" fontId="95" fillId="0" borderId="0"/>
    <xf numFmtId="0" fontId="87" fillId="0" borderId="0" applyFill="0" applyBorder="0" applyAlignment="0" applyProtection="0"/>
    <xf numFmtId="0" fontId="95" fillId="0" borderId="0"/>
    <xf numFmtId="0" fontId="1" fillId="0" borderId="0"/>
    <xf numFmtId="0" fontId="4" fillId="0" borderId="0"/>
    <xf numFmtId="0" fontId="4" fillId="0" borderId="0"/>
    <xf numFmtId="164" fontId="6" fillId="0" borderId="0" applyNumberFormat="0" applyFill="0" applyBorder="0" applyAlignment="0" applyProtection="0">
      <alignment horizontal="left"/>
    </xf>
    <xf numFmtId="0"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Font="0" applyFill="0" applyBorder="0" applyAlignment="0" applyProtection="0"/>
    <xf numFmtId="0" fontId="4"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31" borderId="12" applyNumberFormat="0" applyFont="0" applyAlignment="0" applyProtection="0"/>
    <xf numFmtId="0" fontId="4" fillId="31" borderId="12" applyNumberFormat="0" applyFont="0" applyAlignment="0" applyProtection="0"/>
    <xf numFmtId="0" fontId="4" fillId="0" borderId="15"/>
    <xf numFmtId="168" fontId="6" fillId="0" borderId="0" applyFont="0" applyFill="0" applyBorder="0" applyAlignment="0" applyProtection="0">
      <alignment horizontal="left"/>
    </xf>
    <xf numFmtId="14"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9" fontId="4" fillId="0" borderId="0" applyFont="0" applyFill="0" applyBorder="0" applyAlignment="0" applyProtection="0"/>
    <xf numFmtId="206"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0" fontId="4" fillId="0" borderId="0" applyFill="0" applyBorder="0" applyProtection="0">
      <alignment vertical="center"/>
    </xf>
    <xf numFmtId="0" fontId="4" fillId="0" borderId="0" applyFont="0" applyFill="0" applyBorder="0" applyAlignment="0" applyProtection="0"/>
    <xf numFmtId="0" fontId="4" fillId="0" borderId="0" applyFont="0" applyFill="0" applyBorder="0" applyAlignment="0" applyProtection="0"/>
    <xf numFmtId="0" fontId="34" fillId="0" borderId="0"/>
    <xf numFmtId="0" fontId="58" fillId="0" borderId="3" applyFont="0" applyFill="0" applyAlignment="0" applyProtection="0"/>
    <xf numFmtId="0" fontId="100" fillId="0" borderId="0" applyBorder="0" applyProtection="0">
      <alignment horizontal="left"/>
    </xf>
    <xf numFmtId="0" fontId="98" fillId="0" borderId="0" applyFill="0" applyBorder="0" applyProtection="0">
      <alignment horizontal="left"/>
    </xf>
    <xf numFmtId="0" fontId="87" fillId="0" borderId="34" applyFill="0" applyBorder="0" applyProtection="0">
      <alignment horizontal="left" vertical="top"/>
    </xf>
    <xf numFmtId="169" fontId="11" fillId="0" borderId="30" applyFont="0" applyFill="0" applyBorder="0" applyAlignment="0" applyProtection="0">
      <protection locked="0"/>
    </xf>
    <xf numFmtId="169" fontId="11" fillId="0" borderId="30" applyFont="0" applyFill="0" applyBorder="0" applyAlignment="0" applyProtection="0">
      <protection locked="0"/>
    </xf>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9" fillId="0" borderId="3" applyNumberFormat="0" applyFont="0" applyFill="0" applyAlignment="0" applyProtection="0"/>
    <xf numFmtId="0" fontId="32" fillId="0" borderId="14" applyNumberFormat="0" applyFill="0" applyAlignment="0" applyProtection="0"/>
    <xf numFmtId="0" fontId="4" fillId="18" borderId="0" applyNumberFormat="0" applyFont="0" applyBorder="0" applyAlignment="0" applyProtection="0"/>
    <xf numFmtId="164" fontId="6" fillId="0" borderId="0" applyNumberFormat="0" applyFill="0" applyBorder="0" applyAlignment="0" applyProtection="0">
      <alignment horizontal="left"/>
    </xf>
    <xf numFmtId="164" fontId="6" fillId="0" borderId="0" applyFont="0" applyFill="0" applyBorder="0" applyAlignment="0" applyProtection="0"/>
    <xf numFmtId="214" fontId="99" fillId="0" borderId="0"/>
    <xf numFmtId="215" fontId="11" fillId="0" borderId="0" applyFont="0" applyFill="0" applyBorder="0" applyAlignment="0" applyProtection="0">
      <protection locked="0"/>
    </xf>
    <xf numFmtId="9" fontId="106" fillId="0" borderId="5" applyNumberFormat="0" applyBorder="0" applyAlignment="0">
      <protection locked="0"/>
    </xf>
    <xf numFmtId="0" fontId="107" fillId="0" borderId="0" applyNumberFormat="0" applyFill="0" applyBorder="0" applyAlignment="0" applyProtection="0"/>
    <xf numFmtId="216" fontId="59" fillId="0" borderId="34" applyFont="0" applyFill="0" applyBorder="0" applyAlignment="0"/>
    <xf numFmtId="1" fontId="108" fillId="0" borderId="30" applyFont="0" applyFill="0" applyBorder="0" applyAlignment="0" applyProtection="0"/>
    <xf numFmtId="169" fontId="99" fillId="0" borderId="0" applyProtection="0"/>
    <xf numFmtId="0" fontId="109" fillId="0" borderId="0"/>
    <xf numFmtId="217" fontId="11" fillId="0" borderId="42" applyFont="0" applyFill="0" applyBorder="0" applyAlignment="0" applyProtection="0">
      <protection locked="0"/>
    </xf>
    <xf numFmtId="210" fontId="99" fillId="0" borderId="34" applyFont="0" applyBorder="0" applyProtection="0"/>
    <xf numFmtId="0" fontId="110" fillId="0" borderId="0" applyNumberFormat="0" applyFill="0" applyBorder="0" applyAlignment="0" applyProtection="0"/>
    <xf numFmtId="0" fontId="99" fillId="55" borderId="0" applyNumberFormat="0" applyBorder="0" applyAlignment="0" applyProtection="0"/>
    <xf numFmtId="0" fontId="111" fillId="2" borderId="0" applyNumberFormat="0" applyFont="0" applyBorder="0" applyAlignment="0" applyProtection="0"/>
    <xf numFmtId="218" fontId="99" fillId="0" borderId="0" applyFont="0" applyFill="0" applyBorder="0" applyAlignment="0" applyProtection="0"/>
    <xf numFmtId="219" fontId="99" fillId="0" borderId="0" applyFont="0" applyFill="0" applyBorder="0" applyAlignment="0" applyProtection="0"/>
    <xf numFmtId="207" fontId="99" fillId="0" borderId="0" applyFont="0" applyFill="0" applyBorder="0" applyAlignment="0" applyProtection="0"/>
    <xf numFmtId="221" fontId="4" fillId="0" borderId="0" applyFont="0" applyFill="0" applyBorder="0" applyAlignment="0" applyProtection="0"/>
    <xf numFmtId="0" fontId="114" fillId="0" borderId="0" applyFill="0" applyBorder="0" applyProtection="0">
      <alignment horizontal="left" vertical="top"/>
    </xf>
    <xf numFmtId="43" fontId="113" fillId="0" borderId="0" applyFont="0" applyFill="0" applyBorder="0" applyAlignment="0" applyProtection="0"/>
  </cellStyleXfs>
  <cellXfs count="280">
    <xf numFmtId="0" fontId="0" fillId="0" borderId="0" xfId="0"/>
    <xf numFmtId="0" fontId="4" fillId="45" borderId="0" xfId="0" applyFont="1" applyFill="1"/>
    <xf numFmtId="0" fontId="4" fillId="45" borderId="0" xfId="0" applyFont="1" applyFill="1" applyAlignment="1">
      <alignment horizontal="center"/>
    </xf>
    <xf numFmtId="0" fontId="4" fillId="45" borderId="31" xfId="0" applyFont="1" applyFill="1" applyBorder="1" applyAlignment="1">
      <alignment horizontal="center"/>
    </xf>
    <xf numFmtId="0" fontId="4" fillId="45" borderId="32" xfId="0" applyFont="1" applyFill="1" applyBorder="1" applyAlignment="1">
      <alignment horizontal="center"/>
    </xf>
    <xf numFmtId="0" fontId="4" fillId="45" borderId="33" xfId="0" applyFont="1" applyFill="1" applyBorder="1" applyAlignment="1">
      <alignment horizontal="center"/>
    </xf>
    <xf numFmtId="0" fontId="97" fillId="45" borderId="0" xfId="0" applyFont="1" applyFill="1" applyAlignment="1">
      <alignment horizontal="left"/>
    </xf>
    <xf numFmtId="0" fontId="7" fillId="45" borderId="0" xfId="49" applyFill="1"/>
    <xf numFmtId="0" fontId="4" fillId="45" borderId="0" xfId="320" applyFont="1" applyFill="1"/>
    <xf numFmtId="0" fontId="4" fillId="45" borderId="0" xfId="320" applyFont="1" applyFill="1" applyAlignment="1">
      <alignment horizontal="center"/>
    </xf>
    <xf numFmtId="0" fontId="5" fillId="45" borderId="0" xfId="320" applyFont="1" applyFill="1" applyBorder="1" applyAlignment="1">
      <alignment horizontal="center" vertical="center"/>
    </xf>
    <xf numFmtId="0" fontId="5" fillId="45" borderId="0" xfId="320" applyFont="1" applyFill="1"/>
    <xf numFmtId="0" fontId="4" fillId="45" borderId="0" xfId="320" applyFont="1" applyFill="1" applyBorder="1" applyAlignment="1">
      <alignment horizontal="center"/>
    </xf>
    <xf numFmtId="0" fontId="5" fillId="45" borderId="30" xfId="320" applyFont="1" applyFill="1" applyBorder="1" applyAlignment="1">
      <alignment horizontal="center"/>
    </xf>
    <xf numFmtId="0" fontId="5" fillId="45" borderId="42" xfId="320" applyFont="1" applyFill="1" applyBorder="1" applyAlignment="1">
      <alignment horizontal="center"/>
    </xf>
    <xf numFmtId="0" fontId="4" fillId="45" borderId="33" xfId="320" applyFont="1" applyFill="1" applyBorder="1" applyAlignment="1">
      <alignment horizontal="center"/>
    </xf>
    <xf numFmtId="211" fontId="4" fillId="45" borderId="0" xfId="320" applyNumberFormat="1" applyFont="1" applyFill="1"/>
    <xf numFmtId="0" fontId="4" fillId="45" borderId="32" xfId="320" applyFont="1" applyFill="1" applyBorder="1" applyAlignment="1">
      <alignment horizontal="center"/>
    </xf>
    <xf numFmtId="0" fontId="7" fillId="45" borderId="0" xfId="26" applyFill="1"/>
    <xf numFmtId="0" fontId="102" fillId="45" borderId="30" xfId="26" applyFont="1" applyFill="1" applyBorder="1" applyAlignment="1">
      <alignment horizontal="left" vertical="center"/>
    </xf>
    <xf numFmtId="0" fontId="98" fillId="53" borderId="35" xfId="26" applyFont="1" applyFill="1" applyBorder="1" applyAlignment="1">
      <alignment horizontal="center" wrapText="1"/>
    </xf>
    <xf numFmtId="0" fontId="98" fillId="53" borderId="36" xfId="26" applyFont="1" applyFill="1" applyBorder="1" applyAlignment="1">
      <alignment horizontal="center" wrapText="1"/>
    </xf>
    <xf numFmtId="0" fontId="98" fillId="53" borderId="37" xfId="26" applyFont="1" applyFill="1" applyBorder="1" applyAlignment="1">
      <alignment horizontal="center" wrapText="1"/>
    </xf>
    <xf numFmtId="3" fontId="7" fillId="45" borderId="0" xfId="26" applyNumberFormat="1" applyFill="1" applyBorder="1" applyAlignment="1">
      <alignment horizontal="center"/>
    </xf>
    <xf numFmtId="3" fontId="7" fillId="45" borderId="30" xfId="26" applyNumberFormat="1" applyFont="1" applyFill="1" applyBorder="1" applyAlignment="1">
      <alignment horizontal="center"/>
    </xf>
    <xf numFmtId="0" fontId="7" fillId="45" borderId="30" xfId="26" applyFill="1" applyBorder="1" applyAlignment="1">
      <alignment horizontal="center"/>
    </xf>
    <xf numFmtId="9" fontId="7" fillId="45" borderId="30" xfId="26" applyNumberFormat="1" applyFill="1" applyBorder="1" applyAlignment="1">
      <alignment horizontal="center"/>
    </xf>
    <xf numFmtId="213" fontId="7" fillId="45" borderId="42" xfId="26" applyNumberFormat="1" applyFill="1" applyBorder="1" applyAlignment="1">
      <alignment horizontal="center"/>
    </xf>
    <xf numFmtId="3" fontId="7" fillId="45" borderId="0" xfId="26" applyNumberFormat="1" applyFill="1" applyAlignment="1">
      <alignment horizontal="center"/>
    </xf>
    <xf numFmtId="0" fontId="7" fillId="45" borderId="0" xfId="26" applyFill="1" applyAlignment="1">
      <alignment horizontal="center"/>
    </xf>
    <xf numFmtId="0" fontId="7" fillId="45" borderId="34" xfId="26" applyFill="1" applyBorder="1" applyAlignment="1">
      <alignment horizontal="center"/>
    </xf>
    <xf numFmtId="3" fontId="7" fillId="45" borderId="40" xfId="26" applyNumberFormat="1" applyFill="1" applyBorder="1" applyAlignment="1">
      <alignment horizontal="center"/>
    </xf>
    <xf numFmtId="0" fontId="7" fillId="45" borderId="41" xfId="26" applyFill="1" applyBorder="1" applyAlignment="1">
      <alignment horizontal="center"/>
    </xf>
    <xf numFmtId="3" fontId="7" fillId="45" borderId="30" xfId="26" applyNumberFormat="1" applyFill="1" applyBorder="1" applyAlignment="1">
      <alignment horizontal="center"/>
    </xf>
    <xf numFmtId="3" fontId="7" fillId="45" borderId="42" xfId="26" applyNumberFormat="1" applyFill="1" applyBorder="1" applyAlignment="1">
      <alignment horizontal="center"/>
    </xf>
    <xf numFmtId="0" fontId="103" fillId="0" borderId="0" xfId="470" applyNumberFormat="1" applyFont="1" applyFill="1" applyBorder="1" applyAlignment="1">
      <alignment horizontal="center"/>
    </xf>
    <xf numFmtId="0" fontId="103" fillId="45" borderId="0" xfId="470" applyNumberFormat="1" applyFont="1" applyFill="1" applyBorder="1" applyAlignment="1">
      <alignment horizontal="center"/>
    </xf>
    <xf numFmtId="0" fontId="103" fillId="45" borderId="0" xfId="470" quotePrefix="1" applyNumberFormat="1" applyFont="1" applyFill="1" applyBorder="1" applyAlignment="1">
      <alignment horizontal="center"/>
    </xf>
    <xf numFmtId="0" fontId="14" fillId="45" borderId="0" xfId="470" applyNumberFormat="1" applyFont="1" applyFill="1" applyBorder="1" applyAlignment="1">
      <alignment horizontal="center"/>
    </xf>
    <xf numFmtId="3" fontId="14" fillId="45" borderId="0" xfId="470" applyNumberFormat="1" applyFont="1" applyFill="1" applyBorder="1" applyAlignment="1">
      <alignment horizontal="center"/>
    </xf>
    <xf numFmtId="9" fontId="14" fillId="45" borderId="0" xfId="470" applyNumberFormat="1" applyFont="1" applyFill="1" applyBorder="1" applyAlignment="1">
      <alignment horizontal="center"/>
    </xf>
    <xf numFmtId="0" fontId="103" fillId="45" borderId="0" xfId="470" applyNumberFormat="1" applyFont="1" applyFill="1" applyBorder="1" applyAlignment="1">
      <alignment horizontal="left"/>
    </xf>
    <xf numFmtId="0" fontId="14" fillId="50" borderId="5" xfId="26" applyFont="1" applyFill="1" applyBorder="1" applyAlignment="1">
      <alignment horizontal="center" wrapText="1"/>
    </xf>
    <xf numFmtId="0" fontId="14" fillId="53" borderId="35" xfId="26" applyFont="1" applyFill="1" applyBorder="1" applyAlignment="1">
      <alignment horizontal="center" wrapText="1"/>
    </xf>
    <xf numFmtId="0" fontId="14" fillId="53" borderId="36" xfId="26" applyFont="1" applyFill="1" applyBorder="1" applyAlignment="1">
      <alignment horizontal="center" wrapText="1"/>
    </xf>
    <xf numFmtId="0" fontId="14" fillId="53" borderId="37" xfId="26" applyFont="1" applyFill="1" applyBorder="1" applyAlignment="1">
      <alignment horizontal="center" wrapText="1"/>
    </xf>
    <xf numFmtId="0" fontId="14" fillId="54" borderId="35" xfId="26" applyFont="1" applyFill="1" applyBorder="1" applyAlignment="1">
      <alignment horizontal="center" wrapText="1"/>
    </xf>
    <xf numFmtId="0" fontId="14" fillId="52" borderId="35" xfId="26" applyFont="1" applyFill="1" applyBorder="1" applyAlignment="1">
      <alignment horizontal="center" wrapText="1"/>
    </xf>
    <xf numFmtId="0" fontId="14" fillId="52" borderId="37" xfId="26" applyFont="1" applyFill="1" applyBorder="1" applyAlignment="1">
      <alignment horizontal="center" wrapText="1"/>
    </xf>
    <xf numFmtId="0" fontId="14" fillId="53" borderId="5" xfId="26" applyFont="1" applyFill="1" applyBorder="1" applyAlignment="1">
      <alignment horizontal="center" wrapText="1"/>
    </xf>
    <xf numFmtId="209" fontId="103" fillId="45" borderId="34" xfId="471" applyNumberFormat="1" applyFont="1" applyFill="1" applyBorder="1" applyAlignment="1">
      <alignment horizontal="center"/>
    </xf>
    <xf numFmtId="209" fontId="103" fillId="45" borderId="0" xfId="471" applyNumberFormat="1" applyFont="1" applyFill="1" applyBorder="1" applyAlignment="1">
      <alignment horizontal="center"/>
    </xf>
    <xf numFmtId="209" fontId="103" fillId="45" borderId="40" xfId="471" applyNumberFormat="1" applyFont="1" applyFill="1" applyBorder="1" applyAlignment="1">
      <alignment horizontal="center"/>
    </xf>
    <xf numFmtId="209" fontId="103" fillId="45" borderId="33" xfId="471" applyNumberFormat="1" applyFont="1" applyFill="1" applyBorder="1" applyAlignment="1">
      <alignment horizontal="center"/>
    </xf>
    <xf numFmtId="0" fontId="4" fillId="45" borderId="42" xfId="0" applyFont="1" applyFill="1" applyBorder="1" applyAlignment="1">
      <alignment horizontal="center"/>
    </xf>
    <xf numFmtId="0" fontId="4" fillId="45" borderId="40" xfId="0" applyFont="1" applyFill="1" applyBorder="1" applyAlignment="1">
      <alignment horizontal="center"/>
    </xf>
    <xf numFmtId="0" fontId="4" fillId="45" borderId="34" xfId="0" applyFont="1" applyFill="1" applyBorder="1" applyAlignment="1">
      <alignment horizontal="center"/>
    </xf>
    <xf numFmtId="0" fontId="4" fillId="45" borderId="0" xfId="0" applyFont="1" applyFill="1" applyBorder="1" applyAlignment="1">
      <alignment horizontal="center"/>
    </xf>
    <xf numFmtId="0" fontId="4" fillId="45" borderId="41" xfId="0" applyFont="1" applyFill="1" applyBorder="1" applyAlignment="1">
      <alignment horizontal="center"/>
    </xf>
    <xf numFmtId="0" fontId="4" fillId="45" borderId="30" xfId="0" applyFont="1" applyFill="1" applyBorder="1" applyAlignment="1">
      <alignment horizontal="center"/>
    </xf>
    <xf numFmtId="0" fontId="5" fillId="50" borderId="39" xfId="0" applyFont="1" applyFill="1" applyBorder="1" applyAlignment="1">
      <alignment horizontal="center"/>
    </xf>
    <xf numFmtId="0" fontId="5" fillId="50" borderId="40" xfId="0" applyFont="1" applyFill="1" applyBorder="1" applyAlignment="1">
      <alignment horizontal="center"/>
    </xf>
    <xf numFmtId="0" fontId="5" fillId="50" borderId="42" xfId="0" applyFont="1" applyFill="1" applyBorder="1" applyAlignment="1">
      <alignment horizontal="center"/>
    </xf>
    <xf numFmtId="0" fontId="5" fillId="58" borderId="31" xfId="0" applyFont="1" applyFill="1" applyBorder="1" applyAlignment="1">
      <alignment horizontal="center"/>
    </xf>
    <xf numFmtId="0" fontId="5" fillId="58" borderId="33" xfId="0" applyFont="1" applyFill="1" applyBorder="1" applyAlignment="1">
      <alignment horizontal="center"/>
    </xf>
    <xf numFmtId="0" fontId="5" fillId="58" borderId="32" xfId="0" applyFont="1" applyFill="1" applyBorder="1" applyAlignment="1">
      <alignment horizontal="center"/>
    </xf>
    <xf numFmtId="0" fontId="5" fillId="59" borderId="31" xfId="0" applyFont="1" applyFill="1" applyBorder="1" applyAlignment="1">
      <alignment horizontal="center"/>
    </xf>
    <xf numFmtId="0" fontId="5" fillId="59" borderId="33" xfId="0" applyFont="1" applyFill="1" applyBorder="1" applyAlignment="1">
      <alignment horizontal="center"/>
    </xf>
    <xf numFmtId="0" fontId="5" fillId="59" borderId="32" xfId="0" applyFont="1" applyFill="1" applyBorder="1" applyAlignment="1">
      <alignment horizontal="center"/>
    </xf>
    <xf numFmtId="208" fontId="4" fillId="45" borderId="33" xfId="0" applyNumberFormat="1" applyFont="1" applyFill="1" applyBorder="1" applyAlignment="1">
      <alignment horizontal="center"/>
    </xf>
    <xf numFmtId="209" fontId="4" fillId="45" borderId="31" xfId="0" applyNumberFormat="1" applyFont="1" applyFill="1" applyBorder="1" applyAlignment="1">
      <alignment horizontal="center"/>
    </xf>
    <xf numFmtId="209" fontId="4" fillId="45" borderId="33" xfId="0" applyNumberFormat="1" applyFont="1" applyFill="1" applyBorder="1" applyAlignment="1">
      <alignment horizontal="center"/>
    </xf>
    <xf numFmtId="209" fontId="4" fillId="45" borderId="34" xfId="0" applyNumberFormat="1" applyFont="1" applyFill="1" applyBorder="1" applyAlignment="1">
      <alignment horizontal="center"/>
    </xf>
    <xf numFmtId="209" fontId="4" fillId="45" borderId="0" xfId="0" applyNumberFormat="1" applyFont="1" applyFill="1" applyBorder="1" applyAlignment="1">
      <alignment horizontal="center"/>
    </xf>
    <xf numFmtId="209" fontId="4" fillId="45" borderId="40" xfId="0" applyNumberFormat="1" applyFont="1" applyFill="1" applyBorder="1" applyAlignment="1">
      <alignment horizontal="center"/>
    </xf>
    <xf numFmtId="209" fontId="4" fillId="45" borderId="32" xfId="0" applyNumberFormat="1" applyFont="1" applyFill="1" applyBorder="1" applyAlignment="1">
      <alignment horizontal="center"/>
    </xf>
    <xf numFmtId="209" fontId="4" fillId="45" borderId="41" xfId="0" applyNumberFormat="1" applyFont="1" applyFill="1" applyBorder="1" applyAlignment="1">
      <alignment horizontal="center"/>
    </xf>
    <xf numFmtId="209" fontId="4" fillId="45" borderId="30" xfId="0" applyNumberFormat="1" applyFont="1" applyFill="1" applyBorder="1" applyAlignment="1">
      <alignment horizontal="center"/>
    </xf>
    <xf numFmtId="209" fontId="4" fillId="45" borderId="42" xfId="0" applyNumberFormat="1" applyFont="1" applyFill="1" applyBorder="1" applyAlignment="1">
      <alignment horizontal="center"/>
    </xf>
    <xf numFmtId="0" fontId="4" fillId="45" borderId="0" xfId="0" applyFont="1" applyFill="1" applyAlignment="1">
      <alignment vertical="center"/>
    </xf>
    <xf numFmtId="0" fontId="4" fillId="45" borderId="34" xfId="0" applyFont="1" applyFill="1" applyBorder="1"/>
    <xf numFmtId="0" fontId="5" fillId="45" borderId="0" xfId="0" applyFont="1" applyFill="1" applyBorder="1" applyAlignment="1">
      <alignment horizontal="center"/>
    </xf>
    <xf numFmtId="0" fontId="5" fillId="45" borderId="40" xfId="0" applyFont="1" applyFill="1" applyBorder="1" applyAlignment="1">
      <alignment horizontal="center"/>
    </xf>
    <xf numFmtId="0" fontId="4" fillId="45" borderId="34" xfId="0" applyFont="1" applyFill="1" applyBorder="1" applyAlignment="1">
      <alignment horizontal="left" indent="2"/>
    </xf>
    <xf numFmtId="0" fontId="5" fillId="45" borderId="34" xfId="0" applyFont="1" applyFill="1" applyBorder="1" applyAlignment="1">
      <alignment horizontal="left" indent="1"/>
    </xf>
    <xf numFmtId="0" fontId="5" fillId="45" borderId="41" xfId="0" applyFont="1" applyFill="1" applyBorder="1" applyAlignment="1">
      <alignment horizontal="left" indent="1"/>
    </xf>
    <xf numFmtId="209" fontId="5" fillId="45" borderId="30" xfId="0" applyNumberFormat="1" applyFont="1" applyFill="1" applyBorder="1" applyAlignment="1">
      <alignment horizontal="center"/>
    </xf>
    <xf numFmtId="209" fontId="5" fillId="45" borderId="42" xfId="0" applyNumberFormat="1" applyFont="1" applyFill="1" applyBorder="1" applyAlignment="1">
      <alignment horizontal="center"/>
    </xf>
    <xf numFmtId="208" fontId="4" fillId="45" borderId="32" xfId="0" applyNumberFormat="1" applyFont="1" applyFill="1" applyBorder="1" applyAlignment="1">
      <alignment horizontal="center"/>
    </xf>
    <xf numFmtId="0" fontId="5" fillId="46" borderId="31" xfId="0" applyFont="1" applyFill="1" applyBorder="1" applyAlignment="1">
      <alignment horizontal="center"/>
    </xf>
    <xf numFmtId="0" fontId="5" fillId="46" borderId="32" xfId="0" applyFont="1" applyFill="1" applyBorder="1" applyAlignment="1">
      <alignment horizontal="center"/>
    </xf>
    <xf numFmtId="0" fontId="97" fillId="45" borderId="0" xfId="0" applyFont="1" applyFill="1"/>
    <xf numFmtId="0" fontId="5" fillId="50" borderId="31" xfId="0" applyFont="1" applyFill="1" applyBorder="1" applyAlignment="1">
      <alignment horizontal="center"/>
    </xf>
    <xf numFmtId="0" fontId="5" fillId="50" borderId="32" xfId="0" applyFont="1" applyFill="1" applyBorder="1" applyAlignment="1">
      <alignment horizontal="center"/>
    </xf>
    <xf numFmtId="14" fontId="4" fillId="45" borderId="0" xfId="0" applyNumberFormat="1" applyFont="1" applyFill="1"/>
    <xf numFmtId="208" fontId="4" fillId="45" borderId="0" xfId="0" applyNumberFormat="1" applyFont="1" applyFill="1" applyAlignment="1">
      <alignment horizontal="center"/>
    </xf>
    <xf numFmtId="0" fontId="5" fillId="50" borderId="0" xfId="0" applyFont="1" applyFill="1" applyBorder="1" applyAlignment="1">
      <alignment horizontal="center"/>
    </xf>
    <xf numFmtId="0" fontId="5" fillId="50" borderId="30" xfId="0" applyFont="1" applyFill="1" applyBorder="1" applyAlignment="1">
      <alignment horizontal="center"/>
    </xf>
    <xf numFmtId="0" fontId="5" fillId="46" borderId="33" xfId="0" applyFont="1" applyFill="1" applyBorder="1" applyAlignment="1">
      <alignment horizontal="center"/>
    </xf>
    <xf numFmtId="0" fontId="4" fillId="50" borderId="35" xfId="0" applyFont="1" applyFill="1" applyBorder="1" applyAlignment="1">
      <alignment horizontal="center"/>
    </xf>
    <xf numFmtId="0" fontId="4" fillId="50" borderId="37" xfId="0" applyFont="1" applyFill="1" applyBorder="1" applyAlignment="1">
      <alignment horizontal="center"/>
    </xf>
    <xf numFmtId="0" fontId="4" fillId="50" borderId="36" xfId="0" applyFont="1" applyFill="1" applyBorder="1" applyAlignment="1">
      <alignment horizontal="center"/>
    </xf>
    <xf numFmtId="0" fontId="5" fillId="45" borderId="42" xfId="0" applyFont="1" applyFill="1" applyBorder="1" applyAlignment="1">
      <alignment horizontal="center"/>
    </xf>
    <xf numFmtId="0" fontId="5" fillId="50" borderId="37" xfId="0" applyFont="1" applyFill="1" applyBorder="1" applyAlignment="1">
      <alignment horizontal="center" wrapText="1"/>
    </xf>
    <xf numFmtId="0" fontId="5" fillId="50" borderId="36" xfId="0" applyFont="1" applyFill="1" applyBorder="1" applyAlignment="1">
      <alignment horizontal="center" wrapText="1"/>
    </xf>
    <xf numFmtId="0" fontId="5" fillId="49" borderId="39" xfId="0" applyFont="1" applyFill="1" applyBorder="1" applyAlignment="1">
      <alignment horizontal="center"/>
    </xf>
    <xf numFmtId="0" fontId="5" fillId="49" borderId="33" xfId="0" applyFont="1" applyFill="1" applyBorder="1" applyAlignment="1">
      <alignment horizontal="center"/>
    </xf>
    <xf numFmtId="0" fontId="5" fillId="49" borderId="32" xfId="0" applyFont="1" applyFill="1" applyBorder="1" applyAlignment="1">
      <alignment horizontal="center"/>
    </xf>
    <xf numFmtId="220" fontId="4" fillId="45" borderId="33" xfId="0" applyNumberFormat="1" applyFont="1" applyFill="1" applyBorder="1" applyAlignment="1">
      <alignment horizontal="center"/>
    </xf>
    <xf numFmtId="220" fontId="4" fillId="45" borderId="32" xfId="0" applyNumberFormat="1" applyFont="1" applyFill="1" applyBorder="1" applyAlignment="1">
      <alignment horizontal="center"/>
    </xf>
    <xf numFmtId="164" fontId="103" fillId="45" borderId="0" xfId="470" applyNumberFormat="1" applyFont="1" applyFill="1" applyBorder="1" applyAlignment="1">
      <alignment horizontal="center"/>
    </xf>
    <xf numFmtId="207" fontId="104" fillId="45" borderId="0" xfId="470" applyNumberFormat="1" applyFont="1" applyFill="1" applyBorder="1" applyAlignment="1">
      <alignment horizontal="center"/>
    </xf>
    <xf numFmtId="0" fontId="103" fillId="45" borderId="0" xfId="470" applyNumberFormat="1" applyFont="1" applyFill="1" applyBorder="1" applyAlignment="1">
      <alignment horizontal="center" wrapText="1"/>
    </xf>
    <xf numFmtId="14" fontId="103" fillId="45" borderId="0" xfId="470" applyNumberFormat="1" applyFont="1" applyFill="1" applyBorder="1" applyAlignment="1">
      <alignment horizontal="center"/>
    </xf>
    <xf numFmtId="41" fontId="103" fillId="45" borderId="0" xfId="471" applyNumberFormat="1" applyFont="1" applyFill="1" applyBorder="1" applyAlignment="1">
      <alignment horizontal="center"/>
    </xf>
    <xf numFmtId="0" fontId="7" fillId="45" borderId="0" xfId="49" applyFill="1" applyAlignment="1">
      <alignment wrapText="1"/>
    </xf>
    <xf numFmtId="209" fontId="4" fillId="45" borderId="0" xfId="0" applyNumberFormat="1" applyFont="1" applyFill="1" applyAlignment="1">
      <alignment horizontal="center"/>
    </xf>
    <xf numFmtId="209" fontId="103" fillId="45" borderId="3" xfId="471" applyNumberFormat="1" applyFont="1" applyFill="1" applyBorder="1" applyAlignment="1">
      <alignment horizontal="center"/>
    </xf>
    <xf numFmtId="41" fontId="103" fillId="45" borderId="0" xfId="470" applyNumberFormat="1" applyFont="1" applyFill="1" applyBorder="1" applyAlignment="1">
      <alignment horizontal="center"/>
    </xf>
    <xf numFmtId="14" fontId="103" fillId="45" borderId="3" xfId="470" applyNumberFormat="1" applyFont="1" applyFill="1" applyBorder="1" applyAlignment="1">
      <alignment horizontal="center"/>
    </xf>
    <xf numFmtId="0" fontId="4" fillId="51" borderId="35" xfId="0" applyFont="1" applyFill="1" applyBorder="1" applyAlignment="1">
      <alignment horizontal="center"/>
    </xf>
    <xf numFmtId="0" fontId="4" fillId="51" borderId="37" xfId="0" applyFont="1" applyFill="1" applyBorder="1" applyAlignment="1">
      <alignment horizontal="center"/>
    </xf>
    <xf numFmtId="0" fontId="4" fillId="51" borderId="36" xfId="0" applyFont="1" applyFill="1" applyBorder="1" applyAlignment="1">
      <alignment horizontal="center"/>
    </xf>
    <xf numFmtId="10" fontId="4" fillId="45" borderId="0" xfId="0" applyNumberFormat="1" applyFont="1" applyFill="1" applyAlignment="1">
      <alignment horizontal="center"/>
    </xf>
    <xf numFmtId="3" fontId="4" fillId="45" borderId="0" xfId="0" applyNumberFormat="1" applyFont="1" applyFill="1" applyBorder="1" applyAlignment="1">
      <alignment horizontal="center"/>
    </xf>
    <xf numFmtId="209" fontId="96" fillId="45" borderId="0" xfId="0" applyNumberFormat="1" applyFont="1" applyFill="1" applyBorder="1" applyAlignment="1">
      <alignment horizontal="left"/>
    </xf>
    <xf numFmtId="0" fontId="5" fillId="60" borderId="39" xfId="0" applyFont="1" applyFill="1" applyBorder="1" applyAlignment="1">
      <alignment horizontal="center"/>
    </xf>
    <xf numFmtId="0" fontId="5" fillId="60" borderId="33" xfId="0" applyFont="1" applyFill="1" applyBorder="1" applyAlignment="1">
      <alignment horizontal="center"/>
    </xf>
    <xf numFmtId="0" fontId="5" fillId="60" borderId="32" xfId="0" applyFont="1" applyFill="1" applyBorder="1" applyAlignment="1">
      <alignment horizontal="center"/>
    </xf>
    <xf numFmtId="209" fontId="4" fillId="45" borderId="0" xfId="0" applyNumberFormat="1" applyFont="1" applyFill="1"/>
    <xf numFmtId="0" fontId="4" fillId="45" borderId="0" xfId="0" applyFont="1" applyFill="1" applyAlignment="1">
      <alignment horizontal="center"/>
    </xf>
    <xf numFmtId="10" fontId="4" fillId="45" borderId="0" xfId="0" applyNumberFormat="1" applyFont="1" applyFill="1"/>
    <xf numFmtId="0" fontId="5" fillId="49" borderId="32" xfId="0" applyFont="1" applyFill="1" applyBorder="1" applyAlignment="1">
      <alignment horizontal="center" wrapText="1"/>
    </xf>
    <xf numFmtId="0" fontId="5" fillId="45" borderId="0" xfId="0" applyFont="1" applyFill="1"/>
    <xf numFmtId="0" fontId="4" fillId="45" borderId="0" xfId="0" applyFont="1" applyFill="1" applyAlignment="1">
      <alignment horizontal="left"/>
    </xf>
    <xf numFmtId="223" fontId="4" fillId="45" borderId="0" xfId="0" applyNumberFormat="1" applyFont="1" applyFill="1"/>
    <xf numFmtId="0" fontId="4" fillId="50" borderId="30" xfId="0" applyFont="1" applyFill="1" applyBorder="1" applyAlignment="1">
      <alignment horizontal="center"/>
    </xf>
    <xf numFmtId="0" fontId="4" fillId="50" borderId="41" xfId="0" applyFont="1" applyFill="1" applyBorder="1" applyAlignment="1">
      <alignment horizontal="center"/>
    </xf>
    <xf numFmtId="0" fontId="4" fillId="50" borderId="42" xfId="0" applyFont="1" applyFill="1" applyBorder="1" applyAlignment="1">
      <alignment horizontal="center"/>
    </xf>
    <xf numFmtId="3" fontId="112" fillId="50" borderId="0" xfId="0" applyNumberFormat="1" applyFont="1" applyFill="1" applyBorder="1" applyAlignment="1">
      <alignment horizontal="left"/>
    </xf>
    <xf numFmtId="3" fontId="5" fillId="45" borderId="30" xfId="0" applyNumberFormat="1" applyFont="1" applyFill="1" applyBorder="1" applyAlignment="1">
      <alignment horizontal="center"/>
    </xf>
    <xf numFmtId="3" fontId="4" fillId="45" borderId="0" xfId="0" applyNumberFormat="1" applyFont="1" applyFill="1"/>
    <xf numFmtId="0" fontId="0" fillId="45" borderId="0" xfId="0" applyFill="1"/>
    <xf numFmtId="208" fontId="101" fillId="45" borderId="0" xfId="0" applyNumberFormat="1" applyFont="1" applyFill="1" applyAlignment="1">
      <alignment horizontal="left"/>
    </xf>
    <xf numFmtId="0" fontId="112" fillId="50" borderId="40" xfId="0" applyFont="1" applyFill="1" applyBorder="1" applyAlignment="1">
      <alignment horizontal="left"/>
    </xf>
    <xf numFmtId="0" fontId="4" fillId="45" borderId="0" xfId="0" applyFont="1" applyFill="1" applyAlignment="1">
      <alignment wrapText="1"/>
    </xf>
    <xf numFmtId="0" fontId="5" fillId="45" borderId="32" xfId="0" applyFont="1" applyFill="1" applyBorder="1" applyAlignment="1">
      <alignment horizontal="center" vertical="center"/>
    </xf>
    <xf numFmtId="0" fontId="5" fillId="45" borderId="32" xfId="320" applyFont="1" applyFill="1" applyBorder="1" applyAlignment="1">
      <alignment horizontal="center" vertical="center"/>
    </xf>
    <xf numFmtId="0" fontId="112" fillId="50" borderId="34" xfId="0" applyFont="1" applyFill="1" applyBorder="1" applyAlignment="1">
      <alignment horizontal="left"/>
    </xf>
    <xf numFmtId="0" fontId="112" fillId="50" borderId="0" xfId="0" applyFont="1" applyFill="1" applyBorder="1" applyAlignment="1">
      <alignment horizontal="left"/>
    </xf>
    <xf numFmtId="0" fontId="115" fillId="45" borderId="0" xfId="0" applyFont="1" applyFill="1"/>
    <xf numFmtId="0" fontId="115" fillId="45" borderId="0" xfId="0" applyFont="1" applyFill="1" applyAlignment="1">
      <alignment horizontal="left"/>
    </xf>
    <xf numFmtId="224" fontId="115" fillId="45" borderId="0" xfId="0" applyNumberFormat="1" applyFont="1" applyFill="1" applyAlignment="1">
      <alignment horizontal="left"/>
    </xf>
    <xf numFmtId="9" fontId="115" fillId="45" borderId="0" xfId="0" applyNumberFormat="1" applyFont="1" applyFill="1" applyAlignment="1">
      <alignment horizontal="left"/>
    </xf>
    <xf numFmtId="225" fontId="115" fillId="45" borderId="0" xfId="0" applyNumberFormat="1" applyFont="1" applyFill="1" applyAlignment="1">
      <alignment horizontal="left"/>
    </xf>
    <xf numFmtId="211" fontId="115" fillId="45" borderId="34" xfId="0" applyNumberFormat="1" applyFont="1" applyFill="1" applyBorder="1" applyAlignment="1">
      <alignment horizontal="center"/>
    </xf>
    <xf numFmtId="212" fontId="115" fillId="45" borderId="0" xfId="320" applyNumberFormat="1" applyFont="1" applyFill="1" applyBorder="1" applyAlignment="1">
      <alignment horizontal="center"/>
    </xf>
    <xf numFmtId="212" fontId="115" fillId="45" borderId="40" xfId="320" applyNumberFormat="1" applyFont="1" applyFill="1" applyBorder="1" applyAlignment="1">
      <alignment horizontal="center"/>
    </xf>
    <xf numFmtId="212" fontId="115" fillId="45" borderId="30" xfId="320" applyNumberFormat="1" applyFont="1" applyFill="1" applyBorder="1" applyAlignment="1">
      <alignment horizontal="center"/>
    </xf>
    <xf numFmtId="212" fontId="115" fillId="45" borderId="42" xfId="320" applyNumberFormat="1" applyFont="1" applyFill="1" applyBorder="1" applyAlignment="1">
      <alignment horizontal="center"/>
    </xf>
    <xf numFmtId="212" fontId="115" fillId="45" borderId="40" xfId="0" applyNumberFormat="1" applyFont="1" applyFill="1" applyBorder="1" applyAlignment="1">
      <alignment horizontal="center"/>
    </xf>
    <xf numFmtId="211" fontId="115" fillId="45" borderId="40" xfId="0" applyNumberFormat="1" applyFont="1" applyFill="1" applyBorder="1" applyAlignment="1">
      <alignment horizontal="center"/>
    </xf>
    <xf numFmtId="212" fontId="115" fillId="45" borderId="31" xfId="0" applyNumberFormat="1" applyFont="1" applyFill="1" applyBorder="1" applyAlignment="1">
      <alignment horizontal="center"/>
    </xf>
    <xf numFmtId="211" fontId="115" fillId="45" borderId="39" xfId="0" applyNumberFormat="1" applyFont="1" applyFill="1" applyBorder="1" applyAlignment="1">
      <alignment horizontal="center"/>
    </xf>
    <xf numFmtId="212" fontId="115" fillId="45" borderId="33" xfId="0" applyNumberFormat="1" applyFont="1" applyFill="1" applyBorder="1" applyAlignment="1">
      <alignment horizontal="center"/>
    </xf>
    <xf numFmtId="211" fontId="115" fillId="45" borderId="33" xfId="0" applyNumberFormat="1" applyFont="1" applyFill="1" applyBorder="1" applyAlignment="1">
      <alignment horizontal="center"/>
    </xf>
    <xf numFmtId="212" fontId="115" fillId="45" borderId="32" xfId="0" applyNumberFormat="1" applyFont="1" applyFill="1" applyBorder="1" applyAlignment="1">
      <alignment horizontal="center"/>
    </xf>
    <xf numFmtId="212" fontId="115" fillId="45" borderId="42" xfId="0" applyNumberFormat="1" applyFont="1" applyFill="1" applyBorder="1" applyAlignment="1">
      <alignment horizontal="center"/>
    </xf>
    <xf numFmtId="14" fontId="115" fillId="45" borderId="0" xfId="0" applyNumberFormat="1" applyFont="1" applyFill="1" applyAlignment="1">
      <alignment horizontal="left"/>
    </xf>
    <xf numFmtId="209" fontId="96" fillId="45" borderId="34" xfId="0" applyNumberFormat="1" applyFont="1" applyFill="1" applyBorder="1" applyAlignment="1">
      <alignment horizontal="center"/>
    </xf>
    <xf numFmtId="209" fontId="96" fillId="45" borderId="0" xfId="0" applyNumberFormat="1" applyFont="1" applyFill="1" applyBorder="1" applyAlignment="1">
      <alignment horizontal="center"/>
    </xf>
    <xf numFmtId="209" fontId="96" fillId="45" borderId="40" xfId="0" applyNumberFormat="1" applyFont="1" applyFill="1" applyBorder="1" applyAlignment="1">
      <alignment horizontal="center"/>
    </xf>
    <xf numFmtId="0" fontId="5" fillId="45" borderId="5" xfId="320" applyFont="1" applyFill="1" applyBorder="1" applyAlignment="1">
      <alignment horizontal="center"/>
    </xf>
    <xf numFmtId="3" fontId="96" fillId="45" borderId="33" xfId="320" applyNumberFormat="1" applyFont="1" applyFill="1" applyBorder="1" applyAlignment="1">
      <alignment horizontal="center"/>
    </xf>
    <xf numFmtId="0" fontId="4" fillId="45" borderId="33" xfId="320" applyFont="1" applyFill="1" applyBorder="1"/>
    <xf numFmtId="0" fontId="4" fillId="45" borderId="32" xfId="320" applyFont="1" applyFill="1" applyBorder="1"/>
    <xf numFmtId="0" fontId="4" fillId="45" borderId="31" xfId="0" applyNumberFormat="1" applyFont="1" applyFill="1" applyBorder="1" applyAlignment="1">
      <alignment horizontal="center"/>
    </xf>
    <xf numFmtId="0" fontId="4" fillId="45" borderId="33" xfId="0" applyNumberFormat="1" applyFont="1" applyFill="1" applyBorder="1" applyAlignment="1">
      <alignment horizontal="center"/>
    </xf>
    <xf numFmtId="0" fontId="4" fillId="45" borderId="34" xfId="320" applyNumberFormat="1" applyFont="1" applyFill="1" applyBorder="1" applyAlignment="1">
      <alignment horizontal="center"/>
    </xf>
    <xf numFmtId="0" fontId="4" fillId="45" borderId="0" xfId="320" applyFont="1" applyFill="1" applyBorder="1"/>
    <xf numFmtId="0" fontId="4" fillId="45" borderId="40" xfId="320" applyFont="1" applyFill="1" applyBorder="1"/>
    <xf numFmtId="0" fontId="4" fillId="45" borderId="41" xfId="320" applyNumberFormat="1" applyFont="1" applyFill="1" applyBorder="1" applyAlignment="1">
      <alignment horizontal="center"/>
    </xf>
    <xf numFmtId="0" fontId="4" fillId="45" borderId="30" xfId="320" applyFont="1" applyFill="1" applyBorder="1"/>
    <xf numFmtId="0" fontId="4" fillId="45" borderId="42" xfId="320" applyFont="1" applyFill="1" applyBorder="1"/>
    <xf numFmtId="0" fontId="4" fillId="45" borderId="34" xfId="320" applyFont="1" applyFill="1" applyBorder="1"/>
    <xf numFmtId="0" fontId="4" fillId="45" borderId="41" xfId="320" applyFont="1" applyFill="1" applyBorder="1"/>
    <xf numFmtId="0" fontId="96" fillId="45" borderId="0" xfId="320" applyFont="1" applyFill="1" applyBorder="1"/>
    <xf numFmtId="0" fontId="96" fillId="45" borderId="40" xfId="320" applyFont="1" applyFill="1" applyBorder="1"/>
    <xf numFmtId="0" fontId="5" fillId="56" borderId="5" xfId="0" applyFont="1" applyFill="1" applyBorder="1" applyAlignment="1">
      <alignment horizontal="center"/>
    </xf>
    <xf numFmtId="209" fontId="4" fillId="45" borderId="0" xfId="320" applyNumberFormat="1" applyFont="1" applyFill="1" applyAlignment="1">
      <alignment horizontal="center"/>
    </xf>
    <xf numFmtId="0" fontId="4" fillId="45" borderId="0" xfId="0" applyFont="1" applyFill="1" applyAlignment="1">
      <alignment horizontal="left" indent="1"/>
    </xf>
    <xf numFmtId="0" fontId="4" fillId="45" borderId="32" xfId="320" applyNumberFormat="1" applyFont="1" applyFill="1" applyBorder="1" applyAlignment="1">
      <alignment horizontal="center"/>
    </xf>
    <xf numFmtId="0" fontId="4" fillId="45" borderId="32" xfId="0" applyNumberFormat="1" applyFont="1" applyFill="1" applyBorder="1" applyAlignment="1">
      <alignment horizontal="center"/>
    </xf>
    <xf numFmtId="0" fontId="4" fillId="45" borderId="35" xfId="0" applyFont="1" applyFill="1" applyBorder="1" applyAlignment="1">
      <alignment horizontal="center"/>
    </xf>
    <xf numFmtId="0" fontId="4" fillId="45" borderId="36" xfId="0" applyFont="1" applyFill="1" applyBorder="1" applyAlignment="1">
      <alignment horizontal="center"/>
    </xf>
    <xf numFmtId="0" fontId="4" fillId="45" borderId="37" xfId="0" applyFont="1" applyFill="1" applyBorder="1" applyAlignment="1">
      <alignment horizontal="center"/>
    </xf>
    <xf numFmtId="212" fontId="4" fillId="45" borderId="0" xfId="0" applyNumberFormat="1" applyFont="1" applyFill="1" applyBorder="1" applyAlignment="1">
      <alignment horizontal="center"/>
    </xf>
    <xf numFmtId="212" fontId="4" fillId="45" borderId="40" xfId="0" applyNumberFormat="1" applyFont="1" applyFill="1" applyBorder="1" applyAlignment="1">
      <alignment horizontal="center"/>
    </xf>
    <xf numFmtId="212" fontId="5" fillId="45" borderId="0" xfId="0" applyNumberFormat="1" applyFont="1" applyFill="1" applyBorder="1" applyAlignment="1">
      <alignment horizontal="center"/>
    </xf>
    <xf numFmtId="212" fontId="5" fillId="45" borderId="40" xfId="0" applyNumberFormat="1" applyFont="1" applyFill="1" applyBorder="1" applyAlignment="1">
      <alignment horizontal="center"/>
    </xf>
    <xf numFmtId="9" fontId="4" fillId="45" borderId="0" xfId="0" applyNumberFormat="1" applyFont="1" applyFill="1" applyAlignment="1">
      <alignment horizontal="left"/>
    </xf>
    <xf numFmtId="224" fontId="4" fillId="45" borderId="0" xfId="0" applyNumberFormat="1" applyFont="1" applyFill="1" applyAlignment="1">
      <alignment horizontal="left"/>
    </xf>
    <xf numFmtId="0" fontId="103" fillId="45" borderId="33" xfId="470" applyNumberFormat="1" applyFont="1" applyFill="1" applyBorder="1" applyAlignment="1">
      <alignment horizontal="center"/>
    </xf>
    <xf numFmtId="0" fontId="4" fillId="45" borderId="0" xfId="0" applyFont="1" applyFill="1" applyBorder="1" applyAlignment="1">
      <alignment horizontal="left" indent="1"/>
    </xf>
    <xf numFmtId="0" fontId="4" fillId="45" borderId="0" xfId="0" applyFont="1" applyFill="1" applyBorder="1"/>
    <xf numFmtId="0" fontId="4" fillId="45" borderId="0" xfId="320" applyFont="1" applyFill="1" applyAlignment="1">
      <alignment horizontal="left" vertical="center"/>
    </xf>
    <xf numFmtId="225" fontId="4" fillId="45" borderId="0" xfId="0" applyNumberFormat="1" applyFont="1" applyFill="1" applyAlignment="1">
      <alignment horizontal="left"/>
    </xf>
    <xf numFmtId="0" fontId="5" fillId="45" borderId="0" xfId="0" applyFont="1" applyFill="1" applyBorder="1" applyAlignment="1">
      <alignment vertical="center"/>
    </xf>
    <xf numFmtId="0" fontId="4" fillId="45" borderId="0" xfId="0" applyFont="1" applyFill="1" applyBorder="1" applyAlignment="1">
      <alignment vertical="center"/>
    </xf>
    <xf numFmtId="9" fontId="96" fillId="45" borderId="0" xfId="0" applyNumberFormat="1" applyFont="1" applyFill="1" applyBorder="1" applyAlignment="1">
      <alignment horizontal="left"/>
    </xf>
    <xf numFmtId="207" fontId="96" fillId="45" borderId="0" xfId="0" applyNumberFormat="1" applyFont="1" applyFill="1" applyBorder="1" applyAlignment="1">
      <alignment horizontal="left"/>
    </xf>
    <xf numFmtId="14" fontId="96" fillId="45" borderId="0" xfId="0" applyNumberFormat="1" applyFont="1" applyFill="1" applyBorder="1" applyAlignment="1">
      <alignment horizontal="left"/>
    </xf>
    <xf numFmtId="222" fontId="4" fillId="45" borderId="0" xfId="0" applyNumberFormat="1" applyFont="1" applyFill="1" applyBorder="1" applyAlignment="1">
      <alignment horizontal="left"/>
    </xf>
    <xf numFmtId="0" fontId="5" fillId="45" borderId="0" xfId="0" applyFont="1" applyFill="1" applyBorder="1"/>
    <xf numFmtId="0" fontId="4" fillId="45" borderId="0" xfId="0" applyFont="1" applyFill="1" applyBorder="1" applyAlignment="1">
      <alignment horizontal="left"/>
    </xf>
    <xf numFmtId="14" fontId="4" fillId="45" borderId="0" xfId="0" applyNumberFormat="1" applyFont="1" applyFill="1" applyBorder="1" applyAlignment="1">
      <alignment horizontal="left"/>
    </xf>
    <xf numFmtId="223" fontId="4" fillId="45" borderId="0" xfId="0" applyNumberFormat="1" applyFont="1" applyFill="1" applyBorder="1" applyAlignment="1">
      <alignment horizontal="left"/>
    </xf>
    <xf numFmtId="0" fontId="102" fillId="45" borderId="0" xfId="26" applyFont="1" applyFill="1" applyBorder="1" applyAlignment="1">
      <alignment horizontal="left" vertical="center"/>
    </xf>
    <xf numFmtId="0" fontId="117" fillId="45" borderId="0" xfId="0" applyFont="1" applyFill="1"/>
    <xf numFmtId="207" fontId="117" fillId="45" borderId="0" xfId="0" applyNumberFormat="1" applyFont="1" applyFill="1"/>
    <xf numFmtId="0" fontId="118" fillId="45" borderId="0" xfId="0" applyFont="1" applyFill="1"/>
    <xf numFmtId="0" fontId="105" fillId="45" borderId="30" xfId="470" applyNumberFormat="1" applyFont="1" applyFill="1" applyBorder="1" applyAlignment="1">
      <alignment vertical="top"/>
    </xf>
    <xf numFmtId="0" fontId="5" fillId="60" borderId="31" xfId="0" applyFont="1" applyFill="1" applyBorder="1" applyAlignment="1">
      <alignment horizontal="center"/>
    </xf>
    <xf numFmtId="10" fontId="5" fillId="60" borderId="33" xfId="0" applyNumberFormat="1" applyFont="1" applyFill="1" applyBorder="1" applyAlignment="1">
      <alignment horizontal="center"/>
    </xf>
    <xf numFmtId="14" fontId="4" fillId="45" borderId="0" xfId="0" applyNumberFormat="1" applyFont="1" applyFill="1" applyAlignment="1">
      <alignment horizontal="left"/>
    </xf>
    <xf numFmtId="0" fontId="120" fillId="45" borderId="0" xfId="0" applyFont="1" applyFill="1" applyAlignment="1">
      <alignment horizontal="center"/>
    </xf>
    <xf numFmtId="0" fontId="7" fillId="45" borderId="34" xfId="26" applyNumberFormat="1" applyFill="1" applyBorder="1" applyAlignment="1">
      <alignment horizontal="center"/>
    </xf>
    <xf numFmtId="0" fontId="13" fillId="45" borderId="0" xfId="0" applyFont="1" applyFill="1" applyAlignment="1">
      <alignment horizontal="center"/>
    </xf>
    <xf numFmtId="0" fontId="7" fillId="45" borderId="0" xfId="26" applyFill="1" applyBorder="1"/>
    <xf numFmtId="0" fontId="7" fillId="45" borderId="0" xfId="26" applyFill="1" applyBorder="1" applyAlignment="1">
      <alignment horizontal="center"/>
    </xf>
    <xf numFmtId="0" fontId="98" fillId="53" borderId="5" xfId="26" applyFont="1" applyFill="1" applyBorder="1" applyAlignment="1">
      <alignment horizontal="center" wrapText="1"/>
    </xf>
    <xf numFmtId="0" fontId="7" fillId="45" borderId="32" xfId="26" applyFill="1" applyBorder="1" applyAlignment="1">
      <alignment horizontal="center"/>
    </xf>
    <xf numFmtId="0" fontId="5" fillId="57" borderId="38" xfId="0" applyFont="1" applyFill="1" applyBorder="1" applyAlignment="1">
      <alignment horizontal="center" vertical="center"/>
    </xf>
    <xf numFmtId="0" fontId="5" fillId="57" borderId="3" xfId="0" applyFont="1" applyFill="1" applyBorder="1" applyAlignment="1">
      <alignment horizontal="center" vertical="center"/>
    </xf>
    <xf numFmtId="0" fontId="5" fillId="57" borderId="39" xfId="0" applyFont="1" applyFill="1" applyBorder="1" applyAlignment="1">
      <alignment horizontal="center" vertical="center"/>
    </xf>
    <xf numFmtId="0" fontId="5" fillId="45" borderId="0" xfId="0" applyFont="1" applyFill="1" applyBorder="1" applyAlignment="1">
      <alignment horizontal="center" vertical="center" wrapText="1"/>
    </xf>
    <xf numFmtId="0" fontId="5" fillId="47" borderId="31" xfId="0" applyFont="1" applyFill="1" applyBorder="1" applyAlignment="1">
      <alignment horizontal="center" vertical="center" wrapText="1"/>
    </xf>
    <xf numFmtId="0" fontId="5" fillId="47" borderId="33" xfId="0" applyFont="1" applyFill="1" applyBorder="1" applyAlignment="1">
      <alignment horizontal="center" vertical="center" wrapText="1"/>
    </xf>
    <xf numFmtId="0" fontId="5" fillId="47" borderId="32" xfId="0" applyFont="1" applyFill="1" applyBorder="1" applyAlignment="1">
      <alignment horizontal="center" vertical="center" wrapText="1"/>
    </xf>
    <xf numFmtId="0" fontId="5" fillId="48" borderId="31" xfId="0" applyFont="1" applyFill="1" applyBorder="1" applyAlignment="1">
      <alignment horizontal="center" vertical="center" wrapText="1"/>
    </xf>
    <xf numFmtId="0" fontId="5" fillId="48" borderId="33" xfId="0" applyFont="1" applyFill="1" applyBorder="1" applyAlignment="1">
      <alignment horizontal="center" vertical="center" wrapText="1"/>
    </xf>
    <xf numFmtId="0" fontId="5" fillId="48" borderId="32" xfId="0" applyFont="1" applyFill="1" applyBorder="1" applyAlignment="1">
      <alignment horizontal="center" vertical="center" wrapText="1"/>
    </xf>
    <xf numFmtId="0" fontId="5" fillId="61" borderId="31" xfId="0" applyFont="1" applyFill="1" applyBorder="1" applyAlignment="1">
      <alignment horizontal="center" vertical="center" wrapText="1"/>
    </xf>
    <xf numFmtId="0" fontId="5" fillId="61" borderId="33" xfId="0" applyFont="1" applyFill="1" applyBorder="1" applyAlignment="1">
      <alignment horizontal="center" vertical="center" wrapText="1"/>
    </xf>
    <xf numFmtId="0" fontId="5" fillId="61" borderId="32" xfId="0" applyFont="1" applyFill="1" applyBorder="1" applyAlignment="1">
      <alignment horizontal="center" vertical="center" wrapText="1"/>
    </xf>
    <xf numFmtId="0" fontId="5" fillId="50" borderId="31" xfId="0" applyFont="1" applyFill="1" applyBorder="1" applyAlignment="1">
      <alignment horizontal="center" vertical="center"/>
    </xf>
    <xf numFmtId="0" fontId="5" fillId="50" borderId="33" xfId="0" applyFont="1" applyFill="1" applyBorder="1" applyAlignment="1">
      <alignment horizontal="center" vertical="center"/>
    </xf>
    <xf numFmtId="0" fontId="5" fillId="50" borderId="32" xfId="0" applyFont="1" applyFill="1" applyBorder="1" applyAlignment="1">
      <alignment horizontal="center" vertical="center"/>
    </xf>
    <xf numFmtId="0" fontId="5" fillId="49" borderId="35" xfId="0" applyFont="1" applyFill="1" applyBorder="1" applyAlignment="1">
      <alignment horizontal="center" vertical="center" wrapText="1"/>
    </xf>
    <xf numFmtId="0" fontId="5" fillId="49" borderId="37" xfId="0" applyFont="1" applyFill="1" applyBorder="1" applyAlignment="1">
      <alignment horizontal="center" vertical="center" wrapText="1"/>
    </xf>
    <xf numFmtId="0" fontId="5" fillId="47" borderId="36" xfId="0" applyFont="1" applyFill="1" applyBorder="1" applyAlignment="1">
      <alignment horizontal="center" vertical="center"/>
    </xf>
    <xf numFmtId="0" fontId="5" fillId="47" borderId="37" xfId="0" applyFont="1" applyFill="1" applyBorder="1" applyAlignment="1">
      <alignment horizontal="center" vertical="center"/>
    </xf>
    <xf numFmtId="0" fontId="5" fillId="50" borderId="31" xfId="0" applyFont="1" applyFill="1" applyBorder="1" applyAlignment="1">
      <alignment horizontal="center" vertical="center" wrapText="1"/>
    </xf>
    <xf numFmtId="0" fontId="5" fillId="50" borderId="32" xfId="0" applyFont="1" applyFill="1" applyBorder="1" applyAlignment="1">
      <alignment horizontal="center" vertical="center" wrapText="1"/>
    </xf>
    <xf numFmtId="0" fontId="5" fillId="50" borderId="39" xfId="0" applyFont="1" applyFill="1" applyBorder="1" applyAlignment="1">
      <alignment horizontal="center" wrapText="1"/>
    </xf>
    <xf numFmtId="0" fontId="5" fillId="50" borderId="42" xfId="0" applyFont="1" applyFill="1" applyBorder="1" applyAlignment="1">
      <alignment horizontal="center" wrapText="1"/>
    </xf>
    <xf numFmtId="0" fontId="5" fillId="47" borderId="35" xfId="0" applyFont="1" applyFill="1" applyBorder="1" applyAlignment="1">
      <alignment horizontal="center"/>
    </xf>
    <xf numFmtId="0" fontId="5" fillId="47" borderId="36" xfId="0" applyFont="1" applyFill="1" applyBorder="1" applyAlignment="1">
      <alignment horizontal="center"/>
    </xf>
    <xf numFmtId="0" fontId="5" fillId="47" borderId="37" xfId="0" applyFont="1" applyFill="1" applyBorder="1" applyAlignment="1">
      <alignment horizontal="center"/>
    </xf>
    <xf numFmtId="0" fontId="5" fillId="51" borderId="31" xfId="0" applyFont="1" applyFill="1" applyBorder="1" applyAlignment="1">
      <alignment horizontal="center" vertical="center"/>
    </xf>
    <xf numFmtId="0" fontId="5" fillId="51" borderId="32" xfId="0" applyFont="1" applyFill="1" applyBorder="1" applyAlignment="1">
      <alignment horizontal="center" vertical="center"/>
    </xf>
    <xf numFmtId="0" fontId="5" fillId="51" borderId="33" xfId="0" applyFont="1" applyFill="1" applyBorder="1" applyAlignment="1">
      <alignment horizontal="center" vertical="center"/>
    </xf>
    <xf numFmtId="0" fontId="5" fillId="50" borderId="35" xfId="0" applyFont="1" applyFill="1" applyBorder="1" applyAlignment="1">
      <alignment horizontal="center"/>
    </xf>
    <xf numFmtId="0" fontId="5" fillId="50" borderId="36" xfId="0" applyFont="1" applyFill="1" applyBorder="1" applyAlignment="1">
      <alignment horizontal="center"/>
    </xf>
    <xf numFmtId="0" fontId="5" fillId="50" borderId="37" xfId="0" applyFont="1" applyFill="1" applyBorder="1" applyAlignment="1">
      <alignment horizontal="center"/>
    </xf>
    <xf numFmtId="0" fontId="5" fillId="48" borderId="36" xfId="0" applyFont="1" applyFill="1" applyBorder="1" applyAlignment="1">
      <alignment horizontal="center"/>
    </xf>
    <xf numFmtId="0" fontId="5" fillId="48" borderId="37" xfId="0" applyFont="1" applyFill="1" applyBorder="1" applyAlignment="1">
      <alignment horizontal="center"/>
    </xf>
    <xf numFmtId="0" fontId="102" fillId="45" borderId="0" xfId="26" applyFont="1" applyFill="1" applyBorder="1" applyAlignment="1">
      <alignment horizontal="left" vertical="center"/>
    </xf>
    <xf numFmtId="0" fontId="44" fillId="45" borderId="43" xfId="320" applyFont="1" applyFill="1" applyBorder="1" applyAlignment="1">
      <alignment horizontal="center"/>
    </xf>
    <xf numFmtId="0" fontId="4" fillId="45" borderId="0" xfId="320" applyFont="1" applyFill="1" applyAlignment="1">
      <alignment horizontal="left" vertical="center" wrapText="1"/>
    </xf>
    <xf numFmtId="0" fontId="5" fillId="50" borderId="35" xfId="320" applyFont="1" applyFill="1" applyBorder="1" applyAlignment="1">
      <alignment horizontal="center" vertical="center"/>
    </xf>
    <xf numFmtId="0" fontId="5" fillId="50" borderId="36" xfId="320" applyFont="1" applyFill="1" applyBorder="1" applyAlignment="1">
      <alignment horizontal="center" vertical="center"/>
    </xf>
    <xf numFmtId="0" fontId="5" fillId="50" borderId="37" xfId="320" applyFont="1" applyFill="1" applyBorder="1" applyAlignment="1">
      <alignment horizontal="center" vertical="center"/>
    </xf>
    <xf numFmtId="0" fontId="5" fillId="45" borderId="31" xfId="0" applyFont="1" applyFill="1" applyBorder="1" applyAlignment="1">
      <alignment horizontal="center" vertical="center"/>
    </xf>
    <xf numFmtId="0" fontId="5" fillId="45" borderId="33" xfId="0" applyFont="1" applyFill="1" applyBorder="1" applyAlignment="1">
      <alignment horizontal="center" vertical="center"/>
    </xf>
    <xf numFmtId="0" fontId="5" fillId="45" borderId="32" xfId="0" applyFont="1" applyFill="1" applyBorder="1" applyAlignment="1">
      <alignment horizontal="center" vertical="center"/>
    </xf>
    <xf numFmtId="0" fontId="5" fillId="50" borderId="35" xfId="0" applyFont="1" applyFill="1" applyBorder="1" applyAlignment="1">
      <alignment horizontal="center" vertical="center"/>
    </xf>
    <xf numFmtId="0" fontId="5" fillId="50" borderId="36" xfId="0" applyFont="1" applyFill="1" applyBorder="1" applyAlignment="1">
      <alignment horizontal="center" vertical="center"/>
    </xf>
    <xf numFmtId="0" fontId="5" fillId="50" borderId="37" xfId="0" applyFont="1" applyFill="1" applyBorder="1" applyAlignment="1">
      <alignment horizontal="center" vertical="center"/>
    </xf>
    <xf numFmtId="0" fontId="5" fillId="48" borderId="35" xfId="0" applyFont="1" applyFill="1" applyBorder="1" applyAlignment="1">
      <alignment horizontal="center"/>
    </xf>
  </cellXfs>
  <cellStyles count="491">
    <cellStyle name="%" xfId="2"/>
    <cellStyle name="%_2DP_in" xfId="161"/>
    <cellStyle name="%_2DP_out" xfId="162"/>
    <cellStyle name="_example template 14" xfId="163"/>
    <cellStyle name="_example template 14 2" xfId="331"/>
    <cellStyle name="£'000" xfId="164"/>
    <cellStyle name="£k" xfId="165"/>
    <cellStyle name="£k 2" xfId="332"/>
    <cellStyle name="0_DP_in" xfId="166"/>
    <cellStyle name="0_DP_out" xfId="167"/>
    <cellStyle name="2_DP_in" xfId="168"/>
    <cellStyle name="2_DP_out" xfId="169"/>
    <cellStyle name="20% - Accent1 2" xfId="52"/>
    <cellStyle name="20% - Accent1 3" xfId="51"/>
    <cellStyle name="20% - Accent2 2" xfId="54"/>
    <cellStyle name="20% - Accent2 3" xfId="53"/>
    <cellStyle name="20% - Accent3 2" xfId="56"/>
    <cellStyle name="20% - Accent3 3" xfId="55"/>
    <cellStyle name="20% - Accent4 2" xfId="58"/>
    <cellStyle name="20% - Accent4 3" xfId="57"/>
    <cellStyle name="20% - Accent5 2" xfId="60"/>
    <cellStyle name="20% - Accent5 3" xfId="59"/>
    <cellStyle name="20% - Accent6 2" xfId="62"/>
    <cellStyle name="20% - Accent6 3" xfId="61"/>
    <cellStyle name="40% - Accent1 2" xfId="64"/>
    <cellStyle name="40% - Accent1 3" xfId="63"/>
    <cellStyle name="40% - Accent2 2" xfId="66"/>
    <cellStyle name="40% - Accent2 3" xfId="65"/>
    <cellStyle name="40% - Accent3 2" xfId="68"/>
    <cellStyle name="40% - Accent3 3" xfId="67"/>
    <cellStyle name="40% - Accent4 2" xfId="70"/>
    <cellStyle name="40% - Accent4 3" xfId="69"/>
    <cellStyle name="40% - Accent5 2" xfId="72"/>
    <cellStyle name="40% - Accent5 3" xfId="71"/>
    <cellStyle name="40% - Accent6 2" xfId="74"/>
    <cellStyle name="40% - Accent6 3" xfId="73"/>
    <cellStyle name="60% - Accent1 2" xfId="76"/>
    <cellStyle name="60% - Accent1 3" xfId="75"/>
    <cellStyle name="60% - Accent2 2" xfId="78"/>
    <cellStyle name="60% - Accent2 3" xfId="77"/>
    <cellStyle name="60% - Accent3 2" xfId="80"/>
    <cellStyle name="60% - Accent3 3" xfId="79"/>
    <cellStyle name="60% - Accent4 2" xfId="82"/>
    <cellStyle name="60% - Accent4 3" xfId="81"/>
    <cellStyle name="60% - Accent5 2" xfId="84"/>
    <cellStyle name="60% - Accent5 3" xfId="83"/>
    <cellStyle name="60% - Accent6 2" xfId="86"/>
    <cellStyle name="60% - Accent6 3" xfId="85"/>
    <cellStyle name="AA Nombre" xfId="170"/>
    <cellStyle name="AA Nombre 2" xfId="333"/>
    <cellStyle name="Accent1 2" xfId="88"/>
    <cellStyle name="Accent1 3" xfId="87"/>
    <cellStyle name="Accent2 2" xfId="90"/>
    <cellStyle name="Accent2 3" xfId="89"/>
    <cellStyle name="Accent3 2" xfId="92"/>
    <cellStyle name="Accent3 3" xfId="91"/>
    <cellStyle name="Accent4 2" xfId="94"/>
    <cellStyle name="Accent4 3" xfId="93"/>
    <cellStyle name="Accent5 2" xfId="96"/>
    <cellStyle name="Accent5 3" xfId="95"/>
    <cellStyle name="Accent6 2" xfId="98"/>
    <cellStyle name="Accent6 3" xfId="97"/>
    <cellStyle name="Adjustable" xfId="334"/>
    <cellStyle name="Anos" xfId="171"/>
    <cellStyle name="assumption 1" xfId="172"/>
    <cellStyle name="assumption 2" xfId="173"/>
    <cellStyle name="assumption 4" xfId="174"/>
    <cellStyle name="Assumption Date" xfId="175"/>
    <cellStyle name="Bad 2" xfId="100"/>
    <cellStyle name="Bad 3" xfId="99"/>
    <cellStyle name="Best" xfId="335"/>
    <cellStyle name="BlankRow" xfId="176"/>
    <cellStyle name="bullet" xfId="177"/>
    <cellStyle name="Calander_heading" xfId="178"/>
    <cellStyle name="Calc" xfId="179"/>
    <cellStyle name="Calc - Blue" xfId="180"/>
    <cellStyle name="Calc - Blue 2" xfId="336"/>
    <cellStyle name="Calc - Feed" xfId="181"/>
    <cellStyle name="Calc - Feed 2" xfId="337"/>
    <cellStyle name="Calc - Green" xfId="182"/>
    <cellStyle name="Calc - Green 2" xfId="338"/>
    <cellStyle name="Calc - Grey" xfId="183"/>
    <cellStyle name="Calc - Grey 2" xfId="339"/>
    <cellStyle name="Calc - Index" xfId="184"/>
    <cellStyle name="Calc - White" xfId="185"/>
    <cellStyle name="Calc - White 2" xfId="340"/>
    <cellStyle name="Calc - yellow" xfId="186"/>
    <cellStyle name="Calc 2" xfId="341"/>
    <cellStyle name="Calc 3" xfId="342"/>
    <cellStyle name="Calc 4" xfId="343"/>
    <cellStyle name="Calc_BizMo" xfId="187"/>
    <cellStyle name="Calculation 2" xfId="102"/>
    <cellStyle name="Calculation 3" xfId="101"/>
    <cellStyle name="Check Box" xfId="188"/>
    <cellStyle name="Check Box Input" xfId="189"/>
    <cellStyle name="Check Box_First Capital Connect Financial Model" xfId="190"/>
    <cellStyle name="Check Cell 2" xfId="104"/>
    <cellStyle name="Check Cell 3" xfId="103"/>
    <cellStyle name="Column Title" xfId="191"/>
    <cellStyle name="comma (2)" xfId="192"/>
    <cellStyle name="comma (2) 2" xfId="344"/>
    <cellStyle name="Comma 10" xfId="312"/>
    <cellStyle name="Comma 11" xfId="319"/>
    <cellStyle name="Comma 12" xfId="345"/>
    <cellStyle name="Comma 13" xfId="490"/>
    <cellStyle name="Comma 2" xfId="24"/>
    <cellStyle name="Comma 2 2" xfId="193"/>
    <cellStyle name="Comma 2 2 2" xfId="346"/>
    <cellStyle name="Comma 2 2 3" xfId="347"/>
    <cellStyle name="Comma 2 3" xfId="348"/>
    <cellStyle name="Comma 2 4" xfId="349"/>
    <cellStyle name="Comma 2_Non Debt Reserves" xfId="350"/>
    <cellStyle name="Comma 3" xfId="4"/>
    <cellStyle name="Comma 3 2" xfId="106"/>
    <cellStyle name="Comma 3 2 2" xfId="351"/>
    <cellStyle name="Comma 4" xfId="27"/>
    <cellStyle name="Comma 4 2" xfId="29"/>
    <cellStyle name="Comma 4 2 2" xfId="43"/>
    <cellStyle name="Comma 4 2 3" xfId="36"/>
    <cellStyle name="Comma 4 3" xfId="41"/>
    <cellStyle name="Comma 4 4" xfId="34"/>
    <cellStyle name="Comma 4 5" xfId="47"/>
    <cellStyle name="Comma 4 6" xfId="107"/>
    <cellStyle name="Comma 4 7" xfId="352"/>
    <cellStyle name="Comma 4 7 2" xfId="471"/>
    <cellStyle name="Comma 5" xfId="105"/>
    <cellStyle name="Comma 6" xfId="3"/>
    <cellStyle name="Comma 7" xfId="306"/>
    <cellStyle name="Comma 8" xfId="314"/>
    <cellStyle name="Comma 9" xfId="311"/>
    <cellStyle name="Comma Decimal" xfId="5"/>
    <cellStyle name="Comma Decimal 2" xfId="6"/>
    <cellStyle name="Comma Decimal 2 2" xfId="7"/>
    <cellStyle name="Comma(2)" xfId="194"/>
    <cellStyle name="Comma(2) 2" xfId="353"/>
    <cellStyle name="Comma0" xfId="354"/>
    <cellStyle name="Comma0 2" xfId="355"/>
    <cellStyle name="Control Check" xfId="195"/>
    <cellStyle name="control table footer 1" xfId="196"/>
    <cellStyle name="control table header 1" xfId="197"/>
    <cellStyle name="control table header 1 2" xfId="317"/>
    <cellStyle name="Curren - Style1" xfId="198"/>
    <cellStyle name="Curren - Style4" xfId="199"/>
    <cellStyle name="Currency 2" xfId="109"/>
    <cellStyle name="Currency 2 2" xfId="356"/>
    <cellStyle name="Currency 2 3" xfId="357"/>
    <cellStyle name="Currency 3" xfId="110"/>
    <cellStyle name="Currency 3 2" xfId="358"/>
    <cellStyle name="Currency 4" xfId="154"/>
    <cellStyle name="Currency 4 2" xfId="326"/>
    <cellStyle name="Currency 4 2 2" xfId="360"/>
    <cellStyle name="Currency 4 3" xfId="361"/>
    <cellStyle name="Currency 4 4" xfId="359"/>
    <cellStyle name="Currency 5" xfId="108"/>
    <cellStyle name="Currency 6" xfId="8"/>
    <cellStyle name="Currency Decimal" xfId="9"/>
    <cellStyle name="Currency Decimal 2" xfId="10"/>
    <cellStyle name="Currency Decimal 2 2" xfId="11"/>
    <cellStyle name="Currency0" xfId="362"/>
    <cellStyle name="Currency0 2" xfId="363"/>
    <cellStyle name="Data" xfId="200"/>
    <cellStyle name="Date" xfId="12"/>
    <cellStyle name="Date 2" xfId="201"/>
    <cellStyle name="Date 3" xfId="364"/>
    <cellStyle name="DateLong" xfId="365"/>
    <cellStyle name="DateLong 2" xfId="366"/>
    <cellStyle name="Dates" xfId="472"/>
    <cellStyle name="DateShort" xfId="367"/>
    <cellStyle name="DateShort 2" xfId="368"/>
    <cellStyle name="Days" xfId="473"/>
    <cellStyle name="Deviant" xfId="202"/>
    <cellStyle name="Deviant 2" xfId="369"/>
    <cellStyle name="Dezimal [0]_Compiling Utility Macros" xfId="203"/>
    <cellStyle name="Dezimal_Compiling Utility Macros" xfId="204"/>
    <cellStyle name="Effect Symbol" xfId="205"/>
    <cellStyle name="Entries" xfId="474"/>
    <cellStyle name="Euro" xfId="206"/>
    <cellStyle name="Euro 2" xfId="370"/>
    <cellStyle name="Exception" xfId="207"/>
    <cellStyle name="Exception 2" xfId="371"/>
    <cellStyle name="Explanatory Text 2" xfId="112"/>
    <cellStyle name="Explanatory Text 3" xfId="111"/>
    <cellStyle name="External Links" xfId="208"/>
    <cellStyle name="External Links 2" xfId="372"/>
    <cellStyle name="Extra Large" xfId="209"/>
    <cellStyle name="EY House" xfId="210"/>
    <cellStyle name="EY%colcalc" xfId="211"/>
    <cellStyle name="EY%input" xfId="212"/>
    <cellStyle name="EY%rowcalc" xfId="213"/>
    <cellStyle name="EY0dp" xfId="214"/>
    <cellStyle name="EY1dp" xfId="215"/>
    <cellStyle name="EY2dp" xfId="216"/>
    <cellStyle name="EY3dp" xfId="217"/>
    <cellStyle name="EYColumnHeading" xfId="218"/>
    <cellStyle name="EYHeading1" xfId="219"/>
    <cellStyle name="EYheading2" xfId="220"/>
    <cellStyle name="EYheading3" xfId="221"/>
    <cellStyle name="EYnumber" xfId="222"/>
    <cellStyle name="EYSheetHeader1" xfId="223"/>
    <cellStyle name="EYtext" xfId="224"/>
    <cellStyle name="Factor" xfId="225"/>
    <cellStyle name="Factor 2" xfId="373"/>
    <cellStyle name="Factor 3" xfId="374"/>
    <cellStyle name="Factor 4" xfId="375"/>
    <cellStyle name="Feed Label" xfId="226"/>
    <cellStyle name="Feeder Field" xfId="227"/>
    <cellStyle name="Feeder Field 2" xfId="376"/>
    <cellStyle name="Fine" xfId="228"/>
    <cellStyle name="Fixed" xfId="377"/>
    <cellStyle name="Fixed 2" xfId="378"/>
    <cellStyle name="Fixed3 - Style3" xfId="229"/>
    <cellStyle name="Footnote" xfId="379"/>
    <cellStyle name="Formula" xfId="475"/>
    <cellStyle name="From" xfId="230"/>
    <cellStyle name="FS_reporting" xfId="231"/>
    <cellStyle name="Gap" xfId="232"/>
    <cellStyle name="Good 2" xfId="114"/>
    <cellStyle name="Good 3" xfId="113"/>
    <cellStyle name="Greyed out" xfId="233"/>
    <cellStyle name="Header" xfId="234"/>
    <cellStyle name="Heading" xfId="235"/>
    <cellStyle name="Heading 1 2" xfId="116"/>
    <cellStyle name="Heading 1 3" xfId="115"/>
    <cellStyle name="Heading 2 2" xfId="118"/>
    <cellStyle name="Heading 2 3" xfId="117"/>
    <cellStyle name="Heading 3 2" xfId="120"/>
    <cellStyle name="Heading 3 2 2" xfId="155"/>
    <cellStyle name="Heading 3 2 3" xfId="158"/>
    <cellStyle name="Heading 3 3" xfId="119"/>
    <cellStyle name="Heading 3 4" xfId="156"/>
    <cellStyle name="Heading 3 5" xfId="157"/>
    <cellStyle name="Heading 4 2" xfId="122"/>
    <cellStyle name="Heading 4 3" xfId="121"/>
    <cellStyle name="HELV8BLUE" xfId="236"/>
    <cellStyle name="Hidden" xfId="476"/>
    <cellStyle name="hvb mjhgvhgv" xfId="237"/>
    <cellStyle name="Index FITT" xfId="238"/>
    <cellStyle name="Input (StyleA)" xfId="239"/>
    <cellStyle name="Input 1" xfId="240"/>
    <cellStyle name="Input 2" xfId="124"/>
    <cellStyle name="Input 2 2" xfId="241"/>
    <cellStyle name="Input 2 3" xfId="380"/>
    <cellStyle name="Input 3" xfId="123"/>
    <cellStyle name="Input 4" xfId="381"/>
    <cellStyle name="Input Cell" xfId="242"/>
    <cellStyle name="Input Cell 2" xfId="382"/>
    <cellStyle name="Instructions" xfId="243"/>
    <cellStyle name="Integer" xfId="477"/>
    <cellStyle name="KPMG Heading 1" xfId="244"/>
    <cellStyle name="KPMG Heading 2" xfId="245"/>
    <cellStyle name="KPMG Heading 3" xfId="246"/>
    <cellStyle name="KPMG Heading 4" xfId="247"/>
    <cellStyle name="KPMG Normal" xfId="248"/>
    <cellStyle name="KPMG Normal Text" xfId="249"/>
    <cellStyle name="Lable_1" xfId="250"/>
    <cellStyle name="Large" xfId="251"/>
    <cellStyle name="Linked Cell 2" xfId="126"/>
    <cellStyle name="Linked Cell 3" xfId="125"/>
    <cellStyle name="Lookup References" xfId="252"/>
    <cellStyle name="Medium" xfId="253"/>
    <cellStyle name="Milliers [0]_FNMA tasse2" xfId="254"/>
    <cellStyle name="Milliers_FNMA tasse2" xfId="255"/>
    <cellStyle name="Modelling References" xfId="256"/>
    <cellStyle name="Monétaire [0]_FNMA tasse2" xfId="257"/>
    <cellStyle name="Monétaire_FNMA tasse2" xfId="258"/>
    <cellStyle name="Named Range" xfId="259"/>
    <cellStyle name="Named Range Tag" xfId="260"/>
    <cellStyle name="Named Range_Book2" xfId="261"/>
    <cellStyle name="Neutral 2" xfId="128"/>
    <cellStyle name="Neutral 3" xfId="127"/>
    <cellStyle name="Normal" xfId="0" builtinId="0"/>
    <cellStyle name="Normal (no decimal)" xfId="478"/>
    <cellStyle name="Normal 10" xfId="153"/>
    <cellStyle name="Normal 10 2" xfId="325"/>
    <cellStyle name="Normal 10 2 2" xfId="384"/>
    <cellStyle name="Normal 10 3" xfId="385"/>
    <cellStyle name="Normal 10 4" xfId="383"/>
    <cellStyle name="Normal 11" xfId="50"/>
    <cellStyle name="Normal 12" xfId="49"/>
    <cellStyle name="Normal 13" xfId="159"/>
    <cellStyle name="Normal 13 2" xfId="327"/>
    <cellStyle name="Normal 13 2 2" xfId="387"/>
    <cellStyle name="Normal 13 3" xfId="388"/>
    <cellStyle name="Normal 13 4" xfId="386"/>
    <cellStyle name="Normal 14" xfId="1"/>
    <cellStyle name="Normal 14 2" xfId="389"/>
    <cellStyle name="Normal 15" xfId="320"/>
    <cellStyle name="Normal 15 2" xfId="390"/>
    <cellStyle name="Normal 16" xfId="391"/>
    <cellStyle name="Normal 17" xfId="392"/>
    <cellStyle name="Normal 18" xfId="393"/>
    <cellStyle name="Normal 19" xfId="329"/>
    <cellStyle name="Normal 2" xfId="13"/>
    <cellStyle name="Normal 2 2" xfId="14"/>
    <cellStyle name="Normal 2 2 2" xfId="15"/>
    <cellStyle name="Normal 2 2 2 2" xfId="394"/>
    <cellStyle name="Normal 2 2 3" xfId="262"/>
    <cellStyle name="Normal 2 2 3 2" xfId="395"/>
    <cellStyle name="Normal 2 2 4" xfId="396"/>
    <cellStyle name="Normal 2 2_Non Debt Reserves" xfId="397"/>
    <cellStyle name="Normal 2 3" xfId="129"/>
    <cellStyle name="Normal 2 3 2" xfId="263"/>
    <cellStyle name="Normal 2 3 2 2" xfId="328"/>
    <cellStyle name="Normal 2 3 2 2 2" xfId="400"/>
    <cellStyle name="Normal 2 3 2 3" xfId="401"/>
    <cellStyle name="Normal 2 3 2 4" xfId="399"/>
    <cellStyle name="Normal 2 3 3" xfId="321"/>
    <cellStyle name="Normal 2 3 3 2" xfId="403"/>
    <cellStyle name="Normal 2 3 3 3" xfId="402"/>
    <cellStyle name="Normal 2 3 4" xfId="404"/>
    <cellStyle name="Normal 2 3 4 2" xfId="405"/>
    <cellStyle name="Normal 2 3 4 2 2" xfId="406"/>
    <cellStyle name="Normal 2 3 4 3" xfId="407"/>
    <cellStyle name="Normal 2 3 5" xfId="408"/>
    <cellStyle name="Normal 2 3 6" xfId="398"/>
    <cellStyle name="Normal 2 4" xfId="160"/>
    <cellStyle name="Normal 2 5" xfId="409"/>
    <cellStyle name="Normal 2_S&amp;U Summary 01Mar2011" xfId="410"/>
    <cellStyle name="Normal 3" xfId="16"/>
    <cellStyle name="Normal 3 2" xfId="17"/>
    <cellStyle name="Normal 3 2 2" xfId="18"/>
    <cellStyle name="Normal 4" xfId="26"/>
    <cellStyle name="Normal 4 2" xfId="28"/>
    <cellStyle name="Normal 4 2 2" xfId="42"/>
    <cellStyle name="Normal 4 2 3" xfId="35"/>
    <cellStyle name="Normal 4 3" xfId="40"/>
    <cellStyle name="Normal 4 4" xfId="33"/>
    <cellStyle name="Normal 4 5" xfId="46"/>
    <cellStyle name="Normal 4 6" xfId="130"/>
    <cellStyle name="Normal 4 7" xfId="264"/>
    <cellStyle name="Normal 5" xfId="31"/>
    <cellStyle name="Normal 5 2" xfId="44"/>
    <cellStyle name="Normal 5 3" xfId="37"/>
    <cellStyle name="Normal 5 4" xfId="131"/>
    <cellStyle name="Normal 5 5" xfId="305"/>
    <cellStyle name="Normal 5 6" xfId="411"/>
    <cellStyle name="Normal 6" xfId="32"/>
    <cellStyle name="Normal 6 2" xfId="45"/>
    <cellStyle name="Normal 6 2 2" xfId="133"/>
    <cellStyle name="Normal 6 3" xfId="38"/>
    <cellStyle name="Normal 6 3 2" xfId="152"/>
    <cellStyle name="Normal 6 3 2 2" xfId="324"/>
    <cellStyle name="Normal 6 3 2 2 2" xfId="413"/>
    <cellStyle name="Normal 6 3 2 3" xfId="414"/>
    <cellStyle name="Normal 6 3 2 4" xfId="412"/>
    <cellStyle name="Normal 6 4" xfId="132"/>
    <cellStyle name="Normal 6 4 2" xfId="322"/>
    <cellStyle name="Normal 6 4 2 2" xfId="416"/>
    <cellStyle name="Normal 6 4 3" xfId="417"/>
    <cellStyle name="Normal 6 4 4" xfId="415"/>
    <cellStyle name="Normal 6 5" xfId="418"/>
    <cellStyle name="Normal 6 5 2" xfId="419"/>
    <cellStyle name="Normal 6 5 3" xfId="420"/>
    <cellStyle name="Normal 6 5 4" xfId="470"/>
    <cellStyle name="Normal 7" xfId="48"/>
    <cellStyle name="Normal 7 2" xfId="134"/>
    <cellStyle name="Normal 75" xfId="479"/>
    <cellStyle name="Normal 8" xfId="135"/>
    <cellStyle name="Normal 8 2" xfId="323"/>
    <cellStyle name="Normal 8 2 2" xfId="422"/>
    <cellStyle name="Normal 8 3" xfId="423"/>
    <cellStyle name="Normal 8 4" xfId="421"/>
    <cellStyle name="Normal 9" xfId="151"/>
    <cellStyle name="Normale_Foglio1" xfId="265"/>
    <cellStyle name="Note 2" xfId="137"/>
    <cellStyle name="Note 2 2" xfId="424"/>
    <cellStyle name="Note 2 3" xfId="425"/>
    <cellStyle name="Note 3" xfId="136"/>
    <cellStyle name="Notes" xfId="266"/>
    <cellStyle name="Number" xfId="19"/>
    <cellStyle name="Number 1" xfId="268"/>
    <cellStyle name="Number 1 2" xfId="426"/>
    <cellStyle name="Number 2" xfId="267"/>
    <cellStyle name="Number 3" xfId="427"/>
    <cellStyle name="Number Date" xfId="269"/>
    <cellStyle name="Number Date (short)" xfId="270"/>
    <cellStyle name="Number Date (short) 2" xfId="428"/>
    <cellStyle name="Number Date 2" xfId="429"/>
    <cellStyle name="Number Date 3" xfId="430"/>
    <cellStyle name="Number Date 4" xfId="431"/>
    <cellStyle name="Number Date_Green" xfId="271"/>
    <cellStyle name="Number II" xfId="272"/>
    <cellStyle name="Number Integer" xfId="273"/>
    <cellStyle name="Number Integer 2" xfId="432"/>
    <cellStyle name="Output 2" xfId="139"/>
    <cellStyle name="Output 3" xfId="138"/>
    <cellStyle name="Percen - Style2" xfId="274"/>
    <cellStyle name="Percent (0)" xfId="488"/>
    <cellStyle name="Percent [0%]" xfId="275"/>
    <cellStyle name="Percent [0.00%]" xfId="276"/>
    <cellStyle name="Percent 10" xfId="315"/>
    <cellStyle name="Percent 11" xfId="330"/>
    <cellStyle name="Percent 2" xfId="23"/>
    <cellStyle name="Percent 2 2" xfId="142"/>
    <cellStyle name="Percent 2 2 2" xfId="433"/>
    <cellStyle name="Percent 2 3" xfId="141"/>
    <cellStyle name="Percent 2 3 2" xfId="434"/>
    <cellStyle name="Percent 2 3 3" xfId="435"/>
    <cellStyle name="Percent 2 4" xfId="436"/>
    <cellStyle name="Percent 2 4 2" xfId="437"/>
    <cellStyle name="Percent 2 5" xfId="438"/>
    <cellStyle name="Percent 2 5 2" xfId="439"/>
    <cellStyle name="Percent 2 6" xfId="440"/>
    <cellStyle name="Percent 2 6 2" xfId="441"/>
    <cellStyle name="Percent 2 7" xfId="442"/>
    <cellStyle name="Percent 2 7 2" xfId="443"/>
    <cellStyle name="Percent 2 8" xfId="444"/>
    <cellStyle name="Percent 2 8 2" xfId="445"/>
    <cellStyle name="Percent 2 9" xfId="446"/>
    <cellStyle name="Percent 2_Non Debt Reserves" xfId="447"/>
    <cellStyle name="Percent 3" xfId="143"/>
    <cellStyle name="Percent 3 2" xfId="448"/>
    <cellStyle name="Percent 3 3" xfId="449"/>
    <cellStyle name="Percent 4" xfId="140"/>
    <cellStyle name="Percent 4 2" xfId="450"/>
    <cellStyle name="Percent 5" xfId="20"/>
    <cellStyle name="Percent 6" xfId="307"/>
    <cellStyle name="Percent 6 2" xfId="451"/>
    <cellStyle name="Percent 6 3" xfId="452"/>
    <cellStyle name="Percent 6 4" xfId="453"/>
    <cellStyle name="Percent 7" xfId="313"/>
    <cellStyle name="Percent 8" xfId="316"/>
    <cellStyle name="Percent 9" xfId="310"/>
    <cellStyle name="Pourcentage_tocmodel_final" xfId="277"/>
    <cellStyle name="Price" xfId="480"/>
    <cellStyle name="Profile" xfId="278"/>
    <cellStyle name="Rate" xfId="481"/>
    <cellStyle name="Reference" xfId="482"/>
    <cellStyle name="Result" xfId="483"/>
    <cellStyle name="ROA Ref" xfId="279"/>
    <cellStyle name="ROA Ref 2" xfId="454"/>
    <cellStyle name="Section_End" xfId="280"/>
    <cellStyle name="SectionBreak" xfId="484"/>
    <cellStyle name="Sheet Done" xfId="281"/>
    <cellStyle name="Small" xfId="282"/>
    <cellStyle name="Source Field - Green" xfId="283"/>
    <cellStyle name="Standard_Anpassen der Amortisation" xfId="284"/>
    <cellStyle name="Style 1" xfId="144"/>
    <cellStyle name="Style 1 2" xfId="285"/>
    <cellStyle name="Style 1 2 2" xfId="455"/>
    <cellStyle name="Style 1 3" xfId="456"/>
    <cellStyle name="Style 1 4" xfId="457"/>
    <cellStyle name="Sub totals" xfId="286"/>
    <cellStyle name="Sub totals 2" xfId="318"/>
    <cellStyle name="Sub totals 2 2" xfId="458"/>
    <cellStyle name="Subtotal (line)" xfId="287"/>
    <cellStyle name="Table Heading" xfId="459"/>
    <cellStyle name="Table Title" xfId="460"/>
    <cellStyle name="Table Units" xfId="461"/>
    <cellStyle name="TableBorder" xfId="288"/>
    <cellStyle name="Text" xfId="485"/>
    <cellStyle name="Thousands" xfId="25"/>
    <cellStyle name="Thousands 2" xfId="30"/>
    <cellStyle name="Thousands 2 2" xfId="308"/>
    <cellStyle name="Thousands 2 3" xfId="462"/>
    <cellStyle name="Thousands 3" xfId="289"/>
    <cellStyle name="Thousands 4" xfId="463"/>
    <cellStyle name="Tickmark" xfId="489"/>
    <cellStyle name="Title 1" xfId="290"/>
    <cellStyle name="title 2" xfId="21"/>
    <cellStyle name="title 2 2" xfId="39"/>
    <cellStyle name="Title 2 3" xfId="146"/>
    <cellStyle name="Title 2 4" xfId="291"/>
    <cellStyle name="Title 2 5" xfId="464"/>
    <cellStyle name="Title 3" xfId="145"/>
    <cellStyle name="Title 3 2" xfId="292"/>
    <cellStyle name="Title 3 3" xfId="465"/>
    <cellStyle name="Title 4" xfId="293"/>
    <cellStyle name="Title 5" xfId="466"/>
    <cellStyle name="Titulo" xfId="294"/>
    <cellStyle name="To" xfId="295"/>
    <cellStyle name="Top Border" xfId="22"/>
    <cellStyle name="Top Border 2" xfId="309"/>
    <cellStyle name="Top Border 2 2" xfId="467"/>
    <cellStyle name="Total (line)" xfId="296"/>
    <cellStyle name="Total 2" xfId="148"/>
    <cellStyle name="Total 3" xfId="147"/>
    <cellStyle name="Total 4" xfId="468"/>
    <cellStyle name="Totals" xfId="297"/>
    <cellStyle name="Under Construction Flag" xfId="298"/>
    <cellStyle name="UserInstructions" xfId="299"/>
    <cellStyle name="Very Large" xfId="300"/>
    <cellStyle name="Währung [0]_Compiling Utility Macros" xfId="301"/>
    <cellStyle name="Währung_Compiling Utility Macros" xfId="302"/>
    <cellStyle name="Warning Text 2" xfId="150"/>
    <cellStyle name="Warning Text 3" xfId="149"/>
    <cellStyle name="WingDings" xfId="303"/>
    <cellStyle name="WIP" xfId="304"/>
    <cellStyle name="WIP 2" xfId="469"/>
    <cellStyle name="Years" xfId="486"/>
    <cellStyle name="Yes/No Switch" xfId="487"/>
  </cellStyles>
  <dxfs count="0"/>
  <tableStyles count="0" defaultTableStyle="TableStyleMedium9" defaultPivotStyle="PivotStyleLight16"/>
  <colors>
    <mruColors>
      <color rgb="FF1B3FF1"/>
      <color rgb="FFD28280"/>
      <color rgb="FFA0866C"/>
      <color rgb="FF4396C9"/>
      <color rgb="FF3645D6"/>
      <color rgb="FF308EDC"/>
      <color rgb="FF17C0F5"/>
      <color rgb="FF00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Drop" dropStyle="combo" dx="16" fmlaLink="$CJ$34" fmlaRange="$CI$34:$CI$35" noThreeD="1" sel="0" val="0"/>
</file>

<file path=xl/ctrlProps/ctrlProp2.xml><?xml version="1.0" encoding="utf-8"?>
<formControlPr xmlns="http://schemas.microsoft.com/office/spreadsheetml/2009/9/main" objectType="Drop" dropStyle="combo" dx="16" fmlaLink="$CJ$35" fmlaRange="$CI$34:$CI$35" noThreeD="1" sel="0" val="0"/>
</file>

<file path=xl/ctrlProps/ctrlProp3.xml><?xml version="1.0" encoding="utf-8"?>
<formControlPr xmlns="http://schemas.microsoft.com/office/spreadsheetml/2009/9/main" objectType="Drop" dropStyle="combo" dx="16" fmlaLink="$CJ$36" fmlaRange="$CI$34:$CI$35" noThreeD="1" sel="0"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927736</xdr:colOff>
      <xdr:row>27</xdr:row>
      <xdr:rowOff>62866</xdr:rowOff>
    </xdr:from>
    <xdr:to>
      <xdr:col>2</xdr:col>
      <xdr:colOff>2985136</xdr:colOff>
      <xdr:row>30</xdr:row>
      <xdr:rowOff>78106</xdr:rowOff>
    </xdr:to>
    <xdr:pic>
      <xdr:nvPicPr>
        <xdr:cNvPr id="4" name="Picture 3" descr="C:\Users\garciao\Pictures\PFM_Group_NEW_Master_CLR_bmp_bmp.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4536" y="5158741"/>
          <a:ext cx="2057400" cy="501015"/>
        </a:xfrm>
        <a:prstGeom prst="rect">
          <a:avLst/>
        </a:prstGeom>
        <a:noFill/>
        <a:ln>
          <a:noFill/>
        </a:ln>
      </xdr:spPr>
    </xdr:pic>
    <xdr:clientData/>
  </xdr:twoCellAnchor>
  <xdr:twoCellAnchor editAs="oneCell">
    <xdr:from>
      <xdr:col>2</xdr:col>
      <xdr:colOff>1055369</xdr:colOff>
      <xdr:row>0</xdr:row>
      <xdr:rowOff>133350</xdr:rowOff>
    </xdr:from>
    <xdr:to>
      <xdr:col>2</xdr:col>
      <xdr:colOff>2698160</xdr:colOff>
      <xdr:row>5</xdr:row>
      <xdr:rowOff>55245</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8369" y="133350"/>
          <a:ext cx="1642791" cy="760095"/>
        </a:xfrm>
        <a:prstGeom prst="rect">
          <a:avLst/>
        </a:prstGeom>
      </xdr:spPr>
    </xdr:pic>
    <xdr:clientData/>
  </xdr:twoCellAnchor>
  <xdr:twoCellAnchor editAs="oneCell">
    <xdr:from>
      <xdr:col>2</xdr:col>
      <xdr:colOff>5353049</xdr:colOff>
      <xdr:row>1</xdr:row>
      <xdr:rowOff>26670</xdr:rowOff>
    </xdr:from>
    <xdr:to>
      <xdr:col>2</xdr:col>
      <xdr:colOff>7019924</xdr:colOff>
      <xdr:row>3</xdr:row>
      <xdr:rowOff>155257</xdr:rowOff>
    </xdr:to>
    <xdr:pic>
      <xdr:nvPicPr>
        <xdr:cNvPr id="5" name="Pictur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96049" y="194310"/>
          <a:ext cx="1666875" cy="463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33</xdr:row>
          <xdr:rowOff>22860</xdr:rowOff>
        </xdr:from>
        <xdr:to>
          <xdr:col>4</xdr:col>
          <xdr:colOff>571500</xdr:colOff>
          <xdr:row>34</xdr:row>
          <xdr:rowOff>0</xdr:rowOff>
        </xdr:to>
        <xdr:sp macro="" textlink="">
          <xdr:nvSpPr>
            <xdr:cNvPr id="6148" name="Drop Down 4" hidden="1">
              <a:extLst>
                <a:ext uri="{63B3BB69-23CF-44E3-9099-C40C66FF867C}">
                  <a14:compatExt spid="_x0000_s61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0</xdr:rowOff>
        </xdr:from>
        <xdr:to>
          <xdr:col>4</xdr:col>
          <xdr:colOff>571500</xdr:colOff>
          <xdr:row>34</xdr:row>
          <xdr:rowOff>152400</xdr:rowOff>
        </xdr:to>
        <xdr:sp macro="" textlink="">
          <xdr:nvSpPr>
            <xdr:cNvPr id="6149" name="Drop Down 5" hidden="1">
              <a:extLst>
                <a:ext uri="{63B3BB69-23CF-44E3-9099-C40C66FF867C}">
                  <a14:compatExt spid="_x0000_s61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34</xdr:row>
          <xdr:rowOff>152400</xdr:rowOff>
        </xdr:from>
        <xdr:to>
          <xdr:col>4</xdr:col>
          <xdr:colOff>571500</xdr:colOff>
          <xdr:row>35</xdr:row>
          <xdr:rowOff>137160</xdr:rowOff>
        </xdr:to>
        <xdr:sp macro="" textlink="">
          <xdr:nvSpPr>
            <xdr:cNvPr id="6150" name="Drop Down 6" hidden="1">
              <a:extLst>
                <a:ext uri="{63B3BB69-23CF-44E3-9099-C40C66FF867C}">
                  <a14:compatExt spid="_x0000_s61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xdr:col>
      <xdr:colOff>1162050</xdr:colOff>
      <xdr:row>0</xdr:row>
      <xdr:rowOff>114300</xdr:rowOff>
    </xdr:from>
    <xdr:to>
      <xdr:col>4</xdr:col>
      <xdr:colOff>1000125</xdr:colOff>
      <xdr:row>2</xdr:row>
      <xdr:rowOff>38100</xdr:rowOff>
    </xdr:to>
    <xdr:sp macro="" textlink="">
      <xdr:nvSpPr>
        <xdr:cNvPr id="10" name="Rectangle 9"/>
        <xdr:cNvSpPr/>
      </xdr:nvSpPr>
      <xdr:spPr>
        <a:xfrm>
          <a:off x="2762250" y="114300"/>
          <a:ext cx="4181475"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Arial" panose="020B0604020202020204" pitchFamily="34" charset="0"/>
              <a:cs typeface="Arial" panose="020B0604020202020204" pitchFamily="34" charset="0"/>
            </a:rPr>
            <a:t>Insert Public Entity Logo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J-Clients\JaxPort\2014%20Container%20Terminal%20P3%20on%20Blount%20Island%20and%20Dames%20Point\JPA_Pro%20Forma_Sept_2012_Interlocal%20revenue%20updated%20for%20FY20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rgio%20Masvidal\Miami-Dade%20County\Enterprise%20Segment\Transit\PTP%20Updates_FY06-07\PTP%20Model_07%20Budget_Working%20DRAFT%2011-21-06_sts%20double%20bus%20fares1208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FINANCE\Budget%202001-02\Aviation\Aviation%20Consolidated%20Summaries%20&amp;%20Line%20Item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FA-Clients\J-Clients\JaxPort\General%20FA%20-%20Retainer\Financial%20Capacity%20Analysis\JaxPort_Parity_Bonds%20Pro_Forma_(6-27-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 2013"/>
      <sheetName val="Consol P&amp;L - high &amp; low case"/>
      <sheetName val="Existing DS"/>
      <sheetName val="Hanjin"/>
      <sheetName val="Cruise"/>
      <sheetName val="NCSPA Long-Term Financing"/>
      <sheetName val="Special Purpose Facility"/>
      <sheetName val="Bank Loan_Equip Lease"/>
      <sheetName val="Coverage &amp; Capacity"/>
      <sheetName val="Cash Flow Summary"/>
      <sheetName val="Graph"/>
      <sheetName val="Allocation"/>
      <sheetName val="Comm Svs Tax"/>
      <sheetName val="Debt Svc"/>
      <sheetName val="Print Summary"/>
      <sheetName val="Existing DS_1"/>
      <sheetName val="NCSPA Input"/>
      <sheetName val="Outyears Summary"/>
      <sheetName val="Bonds Summary JUNE 09"/>
      <sheetName val="Notes Summary JUNE 09"/>
      <sheetName val="Accounting Basis Verification"/>
    </sheetNames>
    <sheetDataSet>
      <sheetData sheetId="0"/>
      <sheetData sheetId="1"/>
      <sheetData sheetId="2"/>
      <sheetData sheetId="3"/>
      <sheetData sheetId="4"/>
      <sheetData sheetId="5">
        <row r="245">
          <cell r="C245">
            <v>2012</v>
          </cell>
          <cell r="D245">
            <v>2013</v>
          </cell>
          <cell r="E245">
            <v>2014</v>
          </cell>
          <cell r="F245">
            <v>2015</v>
          </cell>
          <cell r="G245">
            <v>2016</v>
          </cell>
          <cell r="H245">
            <v>2017</v>
          </cell>
          <cell r="I245">
            <v>2018</v>
          </cell>
          <cell r="J245">
            <v>2019</v>
          </cell>
          <cell r="K245">
            <v>2020</v>
          </cell>
          <cell r="L245">
            <v>2021</v>
          </cell>
          <cell r="M245">
            <v>2022</v>
          </cell>
          <cell r="N245">
            <v>2023</v>
          </cell>
          <cell r="O245">
            <v>2024</v>
          </cell>
          <cell r="P245">
            <v>2025</v>
          </cell>
          <cell r="Q245">
            <v>2026</v>
          </cell>
          <cell r="R245">
            <v>2027</v>
          </cell>
          <cell r="S245">
            <v>2028</v>
          </cell>
          <cell r="T245">
            <v>2029</v>
          </cell>
          <cell r="U245">
            <v>2030</v>
          </cell>
          <cell r="V245">
            <v>2031</v>
          </cell>
          <cell r="W245">
            <v>2032</v>
          </cell>
          <cell r="X245">
            <v>2033</v>
          </cell>
          <cell r="Y245">
            <v>2034</v>
          </cell>
          <cell r="Z245">
            <v>2035</v>
          </cell>
          <cell r="AA245">
            <v>2036</v>
          </cell>
          <cell r="AB245">
            <v>2037</v>
          </cell>
          <cell r="AC245">
            <v>2038</v>
          </cell>
          <cell r="AD245">
            <v>2039</v>
          </cell>
          <cell r="AE245">
            <v>2040</v>
          </cell>
          <cell r="AF245">
            <v>2041</v>
          </cell>
          <cell r="AG245">
            <v>2042</v>
          </cell>
        </row>
        <row r="247">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row>
        <row r="249">
          <cell r="L249">
            <v>0</v>
          </cell>
        </row>
        <row r="250">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row>
        <row r="251">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row>
        <row r="254">
          <cell r="C254">
            <v>3.5000000000000003E-2</v>
          </cell>
          <cell r="D254">
            <v>3.5000000000000003E-2</v>
          </cell>
          <cell r="E254">
            <v>3.5000000000000003E-2</v>
          </cell>
          <cell r="F254">
            <v>3.5000000000000003E-2</v>
          </cell>
          <cell r="G254">
            <v>3.5000000000000003E-2</v>
          </cell>
          <cell r="H254">
            <v>3.5000000000000003E-2</v>
          </cell>
          <cell r="I254">
            <v>3.5000000000000003E-2</v>
          </cell>
          <cell r="J254">
            <v>3.5000000000000003E-2</v>
          </cell>
          <cell r="K254">
            <v>3.5000000000000003E-2</v>
          </cell>
          <cell r="L254">
            <v>3.5000000000000003E-2</v>
          </cell>
          <cell r="M254">
            <v>3.5000000000000003E-2</v>
          </cell>
          <cell r="N254">
            <v>3.5000000000000003E-2</v>
          </cell>
          <cell r="O254">
            <v>3.5000000000000003E-2</v>
          </cell>
          <cell r="P254">
            <v>3.5000000000000003E-2</v>
          </cell>
          <cell r="Q254">
            <v>3.5000000000000003E-2</v>
          </cell>
          <cell r="R254">
            <v>3.5000000000000003E-2</v>
          </cell>
          <cell r="S254">
            <v>3.5000000000000003E-2</v>
          </cell>
          <cell r="T254">
            <v>3.5000000000000003E-2</v>
          </cell>
          <cell r="U254">
            <v>3.5000000000000003E-2</v>
          </cell>
          <cell r="V254">
            <v>3.5000000000000003E-2</v>
          </cell>
          <cell r="W254">
            <v>3.5000000000000003E-2</v>
          </cell>
          <cell r="X254">
            <v>3.5000000000000003E-2</v>
          </cell>
          <cell r="Y254">
            <v>3.5000000000000003E-2</v>
          </cell>
          <cell r="Z254">
            <v>3.5000000000000003E-2</v>
          </cell>
          <cell r="AA254">
            <v>3.5000000000000003E-2</v>
          </cell>
          <cell r="AB254">
            <v>3.5000000000000003E-2</v>
          </cell>
          <cell r="AC254">
            <v>3.5000000000000003E-2</v>
          </cell>
          <cell r="AD254">
            <v>3.5000000000000003E-2</v>
          </cell>
          <cell r="AE254">
            <v>3.5000000000000003E-2</v>
          </cell>
          <cell r="AF254">
            <v>3.5000000000000003E-2</v>
          </cell>
          <cell r="AG254">
            <v>3.5000000000000003E-2</v>
          </cell>
        </row>
        <row r="255">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row>
        <row r="256">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row>
        <row r="258">
          <cell r="C258">
            <v>0</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row>
        <row r="298">
          <cell r="C298">
            <v>2012</v>
          </cell>
          <cell r="D298">
            <v>2013</v>
          </cell>
          <cell r="E298">
            <v>2014</v>
          </cell>
          <cell r="F298">
            <v>2015</v>
          </cell>
          <cell r="G298">
            <v>2016</v>
          </cell>
          <cell r="H298">
            <v>2017</v>
          </cell>
          <cell r="I298">
            <v>2018</v>
          </cell>
          <cell r="J298">
            <v>2019</v>
          </cell>
          <cell r="K298">
            <v>2020</v>
          </cell>
          <cell r="L298">
            <v>2021</v>
          </cell>
          <cell r="M298">
            <v>2022</v>
          </cell>
          <cell r="N298">
            <v>2023</v>
          </cell>
          <cell r="O298">
            <v>2024</v>
          </cell>
          <cell r="P298">
            <v>2025</v>
          </cell>
          <cell r="Q298">
            <v>2026</v>
          </cell>
          <cell r="R298">
            <v>2027</v>
          </cell>
          <cell r="S298">
            <v>2028</v>
          </cell>
          <cell r="T298">
            <v>2029</v>
          </cell>
          <cell r="U298">
            <v>2030</v>
          </cell>
          <cell r="V298">
            <v>2031</v>
          </cell>
          <cell r="W298">
            <v>2032</v>
          </cell>
          <cell r="X298">
            <v>2033</v>
          </cell>
          <cell r="Y298">
            <v>2034</v>
          </cell>
          <cell r="Z298">
            <v>2035</v>
          </cell>
          <cell r="AA298">
            <v>2036</v>
          </cell>
          <cell r="AB298">
            <v>2037</v>
          </cell>
          <cell r="AC298">
            <v>2038</v>
          </cell>
          <cell r="AD298">
            <v>2039</v>
          </cell>
          <cell r="AE298">
            <v>2040</v>
          </cell>
          <cell r="AF298">
            <v>2041</v>
          </cell>
          <cell r="AG298">
            <v>2042</v>
          </cell>
        </row>
        <row r="299">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row>
        <row r="300">
          <cell r="C300">
            <v>0</v>
          </cell>
          <cell r="D300">
            <v>0</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row>
        <row r="301">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row>
        <row r="302">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row>
        <row r="303">
          <cell r="C303">
            <v>0</v>
          </cell>
          <cell r="D303">
            <v>0</v>
          </cell>
          <cell r="E303">
            <v>0</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row>
        <row r="304">
          <cell r="C304">
            <v>0</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row>
        <row r="305">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row>
        <row r="306">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row>
        <row r="307">
          <cell r="C307">
            <v>3.5000000000000003E-2</v>
          </cell>
          <cell r="D307">
            <v>3.5000000000000003E-2</v>
          </cell>
          <cell r="E307">
            <v>3.5000000000000003E-2</v>
          </cell>
          <cell r="F307">
            <v>3.5000000000000003E-2</v>
          </cell>
          <cell r="G307">
            <v>3.5000000000000003E-2</v>
          </cell>
          <cell r="H307">
            <v>3.5000000000000003E-2</v>
          </cell>
          <cell r="I307">
            <v>3.5000000000000003E-2</v>
          </cell>
          <cell r="J307">
            <v>3.5000000000000003E-2</v>
          </cell>
          <cell r="K307">
            <v>3.5000000000000003E-2</v>
          </cell>
          <cell r="L307">
            <v>3.5000000000000003E-2</v>
          </cell>
          <cell r="M307">
            <v>3.5000000000000003E-2</v>
          </cell>
          <cell r="N307">
            <v>3.5000000000000003E-2</v>
          </cell>
          <cell r="O307">
            <v>3.5000000000000003E-2</v>
          </cell>
          <cell r="P307">
            <v>3.5000000000000003E-2</v>
          </cell>
          <cell r="Q307">
            <v>3.5000000000000003E-2</v>
          </cell>
          <cell r="R307">
            <v>3.5000000000000003E-2</v>
          </cell>
          <cell r="S307">
            <v>3.5000000000000003E-2</v>
          </cell>
          <cell r="T307">
            <v>3.5000000000000003E-2</v>
          </cell>
          <cell r="U307">
            <v>3.5000000000000003E-2</v>
          </cell>
          <cell r="V307">
            <v>3.5000000000000003E-2</v>
          </cell>
          <cell r="W307">
            <v>3.5000000000000003E-2</v>
          </cell>
          <cell r="X307">
            <v>3.5000000000000003E-2</v>
          </cell>
          <cell r="Y307">
            <v>3.5000000000000003E-2</v>
          </cell>
          <cell r="Z307">
            <v>3.5000000000000003E-2</v>
          </cell>
          <cell r="AA307">
            <v>3.5000000000000003E-2</v>
          </cell>
          <cell r="AB307">
            <v>3.5000000000000003E-2</v>
          </cell>
          <cell r="AC307">
            <v>3.5000000000000003E-2</v>
          </cell>
          <cell r="AD307">
            <v>3.5000000000000003E-2</v>
          </cell>
          <cell r="AE307">
            <v>3.5000000000000003E-2</v>
          </cell>
          <cell r="AF307">
            <v>3.5000000000000003E-2</v>
          </cell>
          <cell r="AG307">
            <v>3.5000000000000003E-2</v>
          </cell>
        </row>
        <row r="308">
          <cell r="C308">
            <v>5.0000000000000001E-3</v>
          </cell>
          <cell r="D308">
            <v>5.0000000000000001E-3</v>
          </cell>
          <cell r="E308">
            <v>5.0000000000000001E-3</v>
          </cell>
          <cell r="F308">
            <v>5.0000000000000001E-3</v>
          </cell>
          <cell r="G308">
            <v>5.0000000000000001E-3</v>
          </cell>
          <cell r="H308">
            <v>5.0000000000000001E-3</v>
          </cell>
          <cell r="I308">
            <v>5.0000000000000001E-3</v>
          </cell>
          <cell r="J308">
            <v>5.0000000000000001E-3</v>
          </cell>
          <cell r="K308">
            <v>5.0000000000000001E-3</v>
          </cell>
          <cell r="L308">
            <v>5.0000000000000001E-3</v>
          </cell>
          <cell r="M308">
            <v>5.0000000000000001E-3</v>
          </cell>
          <cell r="N308">
            <v>5.0000000000000001E-3</v>
          </cell>
          <cell r="O308">
            <v>5.0000000000000001E-3</v>
          </cell>
          <cell r="P308">
            <v>5.0000000000000001E-3</v>
          </cell>
          <cell r="Q308">
            <v>5.0000000000000001E-3</v>
          </cell>
          <cell r="R308">
            <v>5.0000000000000001E-3</v>
          </cell>
          <cell r="S308">
            <v>5.0000000000000001E-3</v>
          </cell>
          <cell r="T308">
            <v>5.0000000000000001E-3</v>
          </cell>
          <cell r="U308">
            <v>5.0000000000000001E-3</v>
          </cell>
          <cell r="V308">
            <v>5.0000000000000001E-3</v>
          </cell>
          <cell r="W308">
            <v>5.0000000000000001E-3</v>
          </cell>
          <cell r="X308">
            <v>5.0000000000000001E-3</v>
          </cell>
          <cell r="Y308">
            <v>5.0000000000000001E-3</v>
          </cell>
          <cell r="Z308">
            <v>5.0000000000000001E-3</v>
          </cell>
          <cell r="AA308">
            <v>5.0000000000000001E-3</v>
          </cell>
          <cell r="AB308">
            <v>5.0000000000000001E-3</v>
          </cell>
          <cell r="AC308">
            <v>5.0000000000000001E-3</v>
          </cell>
          <cell r="AD308">
            <v>5.0000000000000001E-3</v>
          </cell>
          <cell r="AE308">
            <v>5.0000000000000001E-3</v>
          </cell>
          <cell r="AF308">
            <v>5.0000000000000001E-3</v>
          </cell>
          <cell r="AG308">
            <v>5.0000000000000001E-3</v>
          </cell>
        </row>
        <row r="309">
          <cell r="C309">
            <v>5.0000000000000001E-4</v>
          </cell>
          <cell r="D309">
            <v>5.0000000000000001E-4</v>
          </cell>
          <cell r="E309">
            <v>5.0000000000000001E-4</v>
          </cell>
          <cell r="F309">
            <v>5.0000000000000001E-4</v>
          </cell>
          <cell r="G309">
            <v>5.0000000000000001E-4</v>
          </cell>
          <cell r="H309">
            <v>5.0000000000000001E-4</v>
          </cell>
          <cell r="I309">
            <v>5.0000000000000001E-4</v>
          </cell>
          <cell r="J309">
            <v>5.0000000000000001E-4</v>
          </cell>
          <cell r="K309">
            <v>5.0000000000000001E-4</v>
          </cell>
          <cell r="L309">
            <v>5.0000000000000001E-4</v>
          </cell>
          <cell r="M309">
            <v>5.0000000000000001E-4</v>
          </cell>
          <cell r="N309">
            <v>5.0000000000000001E-4</v>
          </cell>
          <cell r="O309">
            <v>5.0000000000000001E-4</v>
          </cell>
          <cell r="P309">
            <v>5.0000000000000001E-4</v>
          </cell>
          <cell r="Q309">
            <v>5.0000000000000001E-4</v>
          </cell>
          <cell r="R309">
            <v>5.0000000000000001E-4</v>
          </cell>
          <cell r="S309">
            <v>5.0000000000000001E-4</v>
          </cell>
          <cell r="T309">
            <v>5.0000000000000001E-4</v>
          </cell>
          <cell r="U309">
            <v>5.0000000000000001E-4</v>
          </cell>
          <cell r="V309">
            <v>5.0000000000000001E-4</v>
          </cell>
          <cell r="W309">
            <v>5.0000000000000001E-4</v>
          </cell>
          <cell r="X309">
            <v>5.0000000000000001E-4</v>
          </cell>
          <cell r="Y309">
            <v>5.0000000000000001E-4</v>
          </cell>
          <cell r="Z309">
            <v>5.0000000000000001E-4</v>
          </cell>
          <cell r="AA309">
            <v>5.0000000000000001E-4</v>
          </cell>
          <cell r="AB309">
            <v>5.0000000000000001E-4</v>
          </cell>
          <cell r="AC309">
            <v>5.0000000000000001E-4</v>
          </cell>
          <cell r="AD309">
            <v>5.0000000000000001E-4</v>
          </cell>
          <cell r="AE309">
            <v>5.0000000000000001E-4</v>
          </cell>
          <cell r="AF309">
            <v>5.0000000000000001E-4</v>
          </cell>
          <cell r="AG309">
            <v>5.0000000000000001E-4</v>
          </cell>
        </row>
        <row r="310">
          <cell r="C310">
            <v>0</v>
          </cell>
          <cell r="D310">
            <v>0</v>
          </cell>
          <cell r="E310">
            <v>0</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row>
        <row r="311">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row>
        <row r="318">
          <cell r="C318">
            <v>2012</v>
          </cell>
          <cell r="D318">
            <v>2013</v>
          </cell>
          <cell r="E318">
            <v>2014</v>
          </cell>
          <cell r="F318">
            <v>2015</v>
          </cell>
          <cell r="G318">
            <v>2016</v>
          </cell>
          <cell r="H318">
            <v>2017</v>
          </cell>
          <cell r="I318">
            <v>2018</v>
          </cell>
          <cell r="J318">
            <v>2019</v>
          </cell>
          <cell r="K318">
            <v>2020</v>
          </cell>
          <cell r="L318">
            <v>2021</v>
          </cell>
          <cell r="M318">
            <v>2022</v>
          </cell>
          <cell r="N318">
            <v>2023</v>
          </cell>
          <cell r="O318">
            <v>2024</v>
          </cell>
          <cell r="P318">
            <v>2025</v>
          </cell>
          <cell r="Q318">
            <v>2026</v>
          </cell>
          <cell r="R318">
            <v>2027</v>
          </cell>
          <cell r="S318">
            <v>2028</v>
          </cell>
          <cell r="T318">
            <v>2029</v>
          </cell>
          <cell r="U318">
            <v>2030</v>
          </cell>
          <cell r="V318">
            <v>2031</v>
          </cell>
          <cell r="W318">
            <v>2032</v>
          </cell>
          <cell r="X318">
            <v>2033</v>
          </cell>
          <cell r="Y318">
            <v>2034</v>
          </cell>
          <cell r="Z318">
            <v>2035</v>
          </cell>
          <cell r="AA318">
            <v>2036</v>
          </cell>
          <cell r="AB318">
            <v>2037</v>
          </cell>
          <cell r="AC318">
            <v>2038</v>
          </cell>
          <cell r="AD318">
            <v>2039</v>
          </cell>
          <cell r="AE318">
            <v>2040</v>
          </cell>
          <cell r="AF318">
            <v>2041</v>
          </cell>
          <cell r="AG318">
            <v>2042</v>
          </cell>
          <cell r="AH318">
            <v>2043</v>
          </cell>
          <cell r="AI318">
            <v>2044</v>
          </cell>
          <cell r="AJ318">
            <v>2045</v>
          </cell>
          <cell r="AK318">
            <v>2046</v>
          </cell>
          <cell r="AL318">
            <v>2047</v>
          </cell>
          <cell r="AM318">
            <v>2048</v>
          </cell>
          <cell r="AN318">
            <v>2049</v>
          </cell>
          <cell r="AO318">
            <v>2050</v>
          </cell>
          <cell r="AP318">
            <v>2051</v>
          </cell>
          <cell r="AQ318">
            <v>2052</v>
          </cell>
          <cell r="AR318">
            <v>2053</v>
          </cell>
          <cell r="AS318">
            <v>2054</v>
          </cell>
          <cell r="AT318">
            <v>2055</v>
          </cell>
          <cell r="AU318">
            <v>2056</v>
          </cell>
          <cell r="AV318">
            <v>2057</v>
          </cell>
          <cell r="AW318">
            <v>2058</v>
          </cell>
          <cell r="AX318">
            <v>2059</v>
          </cell>
          <cell r="AY318">
            <v>2060</v>
          </cell>
          <cell r="AZ318">
            <v>2061</v>
          </cell>
          <cell r="BA318">
            <v>2062</v>
          </cell>
          <cell r="BB318">
            <v>2063</v>
          </cell>
          <cell r="BC318">
            <v>2064</v>
          </cell>
          <cell r="BD318">
            <v>2065</v>
          </cell>
        </row>
        <row r="319">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row>
        <row r="320">
          <cell r="C320">
            <v>0</v>
          </cell>
          <cell r="D320">
            <v>0</v>
          </cell>
          <cell r="E320">
            <v>0</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row>
        <row r="321">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row>
        <row r="322">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row>
        <row r="323">
          <cell r="C323">
            <v>0</v>
          </cell>
          <cell r="D323">
            <v>0</v>
          </cell>
          <cell r="E323">
            <v>0</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row>
        <row r="324">
          <cell r="C324">
            <v>0</v>
          </cell>
          <cell r="D324">
            <v>0</v>
          </cell>
          <cell r="E324">
            <v>0</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row>
        <row r="325">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row>
        <row r="326">
          <cell r="C326">
            <v>0</v>
          </cell>
          <cell r="D326">
            <v>0</v>
          </cell>
          <cell r="E326">
            <v>0</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row>
        <row r="327">
          <cell r="C327">
            <v>0</v>
          </cell>
          <cell r="D327">
            <v>0</v>
          </cell>
          <cell r="E327">
            <v>0</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row>
        <row r="328">
          <cell r="C328">
            <v>0</v>
          </cell>
          <cell r="D328">
            <v>0</v>
          </cell>
          <cell r="E328">
            <v>0</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row>
        <row r="329">
          <cell r="C329">
            <v>0</v>
          </cell>
          <cell r="D329">
            <v>0</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row>
        <row r="330">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row>
        <row r="331">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row>
        <row r="332">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row>
        <row r="333">
          <cell r="C333">
            <v>0</v>
          </cell>
          <cell r="D333">
            <v>0</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row>
        <row r="334">
          <cell r="C334">
            <v>0</v>
          </cell>
          <cell r="D334">
            <v>0</v>
          </cell>
          <cell r="E334">
            <v>0</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row>
        <row r="335">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row>
        <row r="336">
          <cell r="C336">
            <v>0</v>
          </cell>
          <cell r="D336">
            <v>0</v>
          </cell>
          <cell r="E336">
            <v>0</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row>
        <row r="337">
          <cell r="C337">
            <v>0</v>
          </cell>
          <cell r="D337">
            <v>0</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row>
        <row r="338">
          <cell r="C338">
            <v>0</v>
          </cell>
          <cell r="D338">
            <v>0</v>
          </cell>
          <cell r="E338">
            <v>0</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row>
        <row r="339">
          <cell r="C339">
            <v>0</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row>
        <row r="340">
          <cell r="C340">
            <v>0</v>
          </cell>
          <cell r="D340">
            <v>0</v>
          </cell>
          <cell r="E340">
            <v>0</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row>
        <row r="341">
          <cell r="C341">
            <v>0</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row>
        <row r="342">
          <cell r="C342">
            <v>0</v>
          </cell>
          <cell r="D342">
            <v>0</v>
          </cell>
          <cell r="E342">
            <v>0</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row>
        <row r="343">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row>
        <row r="344">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row>
        <row r="345">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row>
        <row r="346">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row>
        <row r="347">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row>
        <row r="348">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row>
        <row r="349">
          <cell r="C349">
            <v>0</v>
          </cell>
          <cell r="D349">
            <v>0</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row>
        <row r="350">
          <cell r="C350">
            <v>0</v>
          </cell>
          <cell r="D350">
            <v>0</v>
          </cell>
          <cell r="E350">
            <v>0</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row>
        <row r="351">
          <cell r="AT351">
            <v>0</v>
          </cell>
          <cell r="AU351">
            <v>0</v>
          </cell>
          <cell r="AV351">
            <v>0</v>
          </cell>
          <cell r="AW351">
            <v>0</v>
          </cell>
          <cell r="AX351">
            <v>0</v>
          </cell>
          <cell r="AY351">
            <v>0</v>
          </cell>
          <cell r="AZ351">
            <v>0</v>
          </cell>
          <cell r="BA351">
            <v>0</v>
          </cell>
          <cell r="BB351">
            <v>0</v>
          </cell>
          <cell r="BC351">
            <v>0</v>
          </cell>
          <cell r="BD351">
            <v>0</v>
          </cell>
        </row>
        <row r="352">
          <cell r="C352">
            <v>0</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row>
        <row r="353">
          <cell r="AT353">
            <v>0</v>
          </cell>
          <cell r="AU353">
            <v>0</v>
          </cell>
          <cell r="AV353">
            <v>0</v>
          </cell>
          <cell r="AW353">
            <v>0</v>
          </cell>
          <cell r="AX353">
            <v>0</v>
          </cell>
          <cell r="AY353">
            <v>0</v>
          </cell>
          <cell r="AZ353">
            <v>0</v>
          </cell>
          <cell r="BA353">
            <v>0</v>
          </cell>
          <cell r="BB353">
            <v>0</v>
          </cell>
          <cell r="BC353">
            <v>0</v>
          </cell>
          <cell r="BD353">
            <v>0</v>
          </cell>
        </row>
        <row r="354">
          <cell r="C354">
            <v>0</v>
          </cell>
          <cell r="D354">
            <v>0</v>
          </cell>
          <cell r="E354">
            <v>0</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row>
        <row r="355">
          <cell r="C355">
            <v>0</v>
          </cell>
          <cell r="D355">
            <v>0</v>
          </cell>
          <cell r="E355">
            <v>0</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row>
        <row r="356">
          <cell r="AT356">
            <v>0</v>
          </cell>
          <cell r="AU356">
            <v>0</v>
          </cell>
          <cell r="AV356">
            <v>0</v>
          </cell>
          <cell r="AW356">
            <v>0</v>
          </cell>
          <cell r="AX356">
            <v>0</v>
          </cell>
          <cell r="AY356">
            <v>0</v>
          </cell>
          <cell r="AZ356">
            <v>0</v>
          </cell>
          <cell r="BA356">
            <v>0</v>
          </cell>
          <cell r="BB356">
            <v>0</v>
          </cell>
          <cell r="BC356">
            <v>0</v>
          </cell>
          <cell r="BD356">
            <v>0</v>
          </cell>
        </row>
        <row r="357">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row>
        <row r="363">
          <cell r="C363">
            <v>2012</v>
          </cell>
          <cell r="D363">
            <v>2013</v>
          </cell>
          <cell r="E363">
            <v>2014</v>
          </cell>
          <cell r="F363">
            <v>2015</v>
          </cell>
          <cell r="G363">
            <v>2016</v>
          </cell>
          <cell r="H363">
            <v>2017</v>
          </cell>
          <cell r="I363">
            <v>2018</v>
          </cell>
          <cell r="J363">
            <v>2019</v>
          </cell>
          <cell r="K363">
            <v>2020</v>
          </cell>
          <cell r="L363">
            <v>2021</v>
          </cell>
          <cell r="M363">
            <v>2022</v>
          </cell>
          <cell r="N363">
            <v>2023</v>
          </cell>
          <cell r="O363">
            <v>2024</v>
          </cell>
          <cell r="P363">
            <v>2025</v>
          </cell>
          <cell r="Q363">
            <v>2026</v>
          </cell>
          <cell r="R363">
            <v>2027</v>
          </cell>
          <cell r="S363">
            <v>2028</v>
          </cell>
          <cell r="T363">
            <v>2029</v>
          </cell>
          <cell r="U363">
            <v>2030</v>
          </cell>
          <cell r="V363">
            <v>2031</v>
          </cell>
          <cell r="W363">
            <v>2032</v>
          </cell>
          <cell r="X363">
            <v>2033</v>
          </cell>
          <cell r="Y363">
            <v>2034</v>
          </cell>
          <cell r="Z363">
            <v>2035</v>
          </cell>
          <cell r="AA363">
            <v>2036</v>
          </cell>
          <cell r="AB363">
            <v>2037</v>
          </cell>
          <cell r="AC363">
            <v>2038</v>
          </cell>
          <cell r="AD363">
            <v>2039</v>
          </cell>
          <cell r="AE363">
            <v>2040</v>
          </cell>
          <cell r="AF363">
            <v>2041</v>
          </cell>
          <cell r="AG363">
            <v>2042</v>
          </cell>
          <cell r="AH363">
            <v>2043</v>
          </cell>
          <cell r="AI363">
            <v>2044</v>
          </cell>
          <cell r="AJ363">
            <v>2045</v>
          </cell>
          <cell r="AK363">
            <v>2046</v>
          </cell>
          <cell r="AL363">
            <v>2047</v>
          </cell>
          <cell r="AM363">
            <v>2048</v>
          </cell>
          <cell r="AN363">
            <v>2049</v>
          </cell>
          <cell r="AO363">
            <v>2050</v>
          </cell>
          <cell r="AP363">
            <v>2051</v>
          </cell>
          <cell r="AQ363">
            <v>2052</v>
          </cell>
          <cell r="AR363">
            <v>2053</v>
          </cell>
          <cell r="AS363">
            <v>2054</v>
          </cell>
          <cell r="AT363">
            <v>2055</v>
          </cell>
          <cell r="AU363">
            <v>2056</v>
          </cell>
          <cell r="AV363">
            <v>2057</v>
          </cell>
          <cell r="AW363">
            <v>2058</v>
          </cell>
          <cell r="AX363">
            <v>2059</v>
          </cell>
          <cell r="AY363">
            <v>2060</v>
          </cell>
          <cell r="AZ363">
            <v>2061</v>
          </cell>
          <cell r="BA363">
            <v>2062</v>
          </cell>
          <cell r="BB363">
            <v>2063</v>
          </cell>
          <cell r="BC363">
            <v>2064</v>
          </cell>
          <cell r="BD363">
            <v>2065</v>
          </cell>
        </row>
        <row r="364">
          <cell r="AT364">
            <v>0</v>
          </cell>
          <cell r="AU364">
            <v>0</v>
          </cell>
          <cell r="AV364">
            <v>0</v>
          </cell>
          <cell r="AW364">
            <v>0</v>
          </cell>
          <cell r="AX364">
            <v>0</v>
          </cell>
          <cell r="AY364">
            <v>0</v>
          </cell>
          <cell r="AZ364">
            <v>0</v>
          </cell>
          <cell r="BA364">
            <v>0</v>
          </cell>
          <cell r="BB364">
            <v>0</v>
          </cell>
          <cell r="BC364">
            <v>0</v>
          </cell>
          <cell r="BD364">
            <v>0</v>
          </cell>
        </row>
        <row r="365">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row>
        <row r="366">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row>
        <row r="367">
          <cell r="C367">
            <v>0</v>
          </cell>
          <cell r="D367">
            <v>0</v>
          </cell>
          <cell r="E367">
            <v>0</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row>
        <row r="368">
          <cell r="C368">
            <v>0</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row>
        <row r="369">
          <cell r="C369">
            <v>0</v>
          </cell>
          <cell r="D369">
            <v>0</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row>
        <row r="370">
          <cell r="C370">
            <v>0</v>
          </cell>
          <cell r="D370">
            <v>0</v>
          </cell>
          <cell r="E370">
            <v>0</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row>
        <row r="371">
          <cell r="C371">
            <v>0</v>
          </cell>
          <cell r="D371">
            <v>0</v>
          </cell>
          <cell r="E371">
            <v>0</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row>
        <row r="372">
          <cell r="C372">
            <v>0</v>
          </cell>
          <cell r="D372">
            <v>0</v>
          </cell>
          <cell r="E372">
            <v>0</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row>
        <row r="373">
          <cell r="C373">
            <v>0</v>
          </cell>
          <cell r="D373">
            <v>0</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row>
        <row r="374">
          <cell r="C374">
            <v>0</v>
          </cell>
          <cell r="D374">
            <v>0</v>
          </cell>
          <cell r="E374">
            <v>0</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row>
        <row r="375">
          <cell r="C375">
            <v>0</v>
          </cell>
          <cell r="D375">
            <v>0</v>
          </cell>
          <cell r="E375">
            <v>0</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row>
        <row r="376">
          <cell r="C376">
            <v>0</v>
          </cell>
          <cell r="D376">
            <v>0</v>
          </cell>
          <cell r="E376">
            <v>0</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row>
        <row r="377">
          <cell r="C377">
            <v>0</v>
          </cell>
          <cell r="D377">
            <v>0</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row>
        <row r="378">
          <cell r="C378">
            <v>0</v>
          </cell>
          <cell r="D378">
            <v>0</v>
          </cell>
          <cell r="E378">
            <v>0</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row>
        <row r="379">
          <cell r="C379">
            <v>0</v>
          </cell>
          <cell r="D379">
            <v>0</v>
          </cell>
          <cell r="E379">
            <v>0</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row>
        <row r="380">
          <cell r="C380">
            <v>0</v>
          </cell>
          <cell r="D380">
            <v>0</v>
          </cell>
          <cell r="E380">
            <v>0</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row>
        <row r="381">
          <cell r="C381">
            <v>0</v>
          </cell>
          <cell r="D381">
            <v>0</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row>
        <row r="382">
          <cell r="C382">
            <v>0</v>
          </cell>
          <cell r="D382">
            <v>0</v>
          </cell>
          <cell r="E382">
            <v>0</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row>
        <row r="383">
          <cell r="C383">
            <v>0</v>
          </cell>
          <cell r="D383">
            <v>0</v>
          </cell>
          <cell r="E383">
            <v>0</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row>
        <row r="384">
          <cell r="C384">
            <v>0</v>
          </cell>
          <cell r="D384">
            <v>0</v>
          </cell>
          <cell r="E384">
            <v>0</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row>
        <row r="385">
          <cell r="C385">
            <v>0</v>
          </cell>
          <cell r="D385">
            <v>0</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row>
        <row r="386">
          <cell r="C386">
            <v>0</v>
          </cell>
          <cell r="D386">
            <v>0</v>
          </cell>
          <cell r="E386">
            <v>0</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row>
        <row r="387">
          <cell r="C387">
            <v>0</v>
          </cell>
          <cell r="D387">
            <v>0</v>
          </cell>
          <cell r="E387">
            <v>0</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row>
        <row r="388">
          <cell r="C388">
            <v>0</v>
          </cell>
          <cell r="D388">
            <v>0</v>
          </cell>
          <cell r="E388">
            <v>0</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row>
        <row r="389">
          <cell r="C389">
            <v>0</v>
          </cell>
          <cell r="D389">
            <v>0</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row>
        <row r="390">
          <cell r="C390">
            <v>0</v>
          </cell>
          <cell r="D390">
            <v>0</v>
          </cell>
          <cell r="E390">
            <v>0</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row>
        <row r="391">
          <cell r="C391">
            <v>0</v>
          </cell>
          <cell r="D391">
            <v>0</v>
          </cell>
          <cell r="E391">
            <v>0</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row>
        <row r="392">
          <cell r="C392">
            <v>0</v>
          </cell>
          <cell r="D392">
            <v>0</v>
          </cell>
          <cell r="E392">
            <v>0</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row>
        <row r="393">
          <cell r="C393">
            <v>0</v>
          </cell>
          <cell r="D393">
            <v>0</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row>
        <row r="394">
          <cell r="C394">
            <v>0</v>
          </cell>
          <cell r="D394">
            <v>0</v>
          </cell>
          <cell r="E394">
            <v>0</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row>
        <row r="395">
          <cell r="C395">
            <v>0</v>
          </cell>
          <cell r="D395">
            <v>0</v>
          </cell>
          <cell r="E395">
            <v>0</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row>
        <row r="396">
          <cell r="AT396">
            <v>0</v>
          </cell>
          <cell r="AU396">
            <v>0</v>
          </cell>
          <cell r="AV396">
            <v>0</v>
          </cell>
          <cell r="AW396">
            <v>0</v>
          </cell>
          <cell r="AX396">
            <v>0</v>
          </cell>
          <cell r="AY396">
            <v>0</v>
          </cell>
          <cell r="AZ396">
            <v>0</v>
          </cell>
          <cell r="BA396">
            <v>0</v>
          </cell>
          <cell r="BB396">
            <v>0</v>
          </cell>
          <cell r="BC396">
            <v>0</v>
          </cell>
          <cell r="BD396">
            <v>0</v>
          </cell>
        </row>
        <row r="397">
          <cell r="C397">
            <v>0</v>
          </cell>
          <cell r="D397">
            <v>0</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row>
        <row r="398">
          <cell r="C398">
            <v>0</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row>
        <row r="399">
          <cell r="C399">
            <v>0</v>
          </cell>
          <cell r="D399">
            <v>0</v>
          </cell>
          <cell r="E399">
            <v>0</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row>
        <row r="400">
          <cell r="C400">
            <v>0</v>
          </cell>
          <cell r="D400">
            <v>0</v>
          </cell>
          <cell r="E400">
            <v>0</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0</v>
          </cell>
          <cell r="BC400">
            <v>0</v>
          </cell>
          <cell r="BD400">
            <v>0</v>
          </cell>
        </row>
        <row r="401">
          <cell r="C401">
            <v>0</v>
          </cell>
          <cell r="D401">
            <v>0</v>
          </cell>
          <cell r="E401">
            <v>0</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row>
        <row r="402">
          <cell r="C402">
            <v>0</v>
          </cell>
          <cell r="D402">
            <v>0</v>
          </cell>
          <cell r="E402">
            <v>0</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row>
        <row r="673">
          <cell r="AP673">
            <v>0</v>
          </cell>
          <cell r="AW673">
            <v>0</v>
          </cell>
          <cell r="BD673">
            <v>0</v>
          </cell>
          <cell r="BK673">
            <v>145520000</v>
          </cell>
          <cell r="BR673">
            <v>49180000</v>
          </cell>
          <cell r="BY673">
            <v>230720000</v>
          </cell>
          <cell r="CF673">
            <v>11070000</v>
          </cell>
          <cell r="CM673">
            <v>11070000</v>
          </cell>
          <cell r="CT673">
            <v>8160000</v>
          </cell>
          <cell r="DA673">
            <v>8575000</v>
          </cell>
          <cell r="DH673">
            <v>1710000</v>
          </cell>
          <cell r="DO673">
            <v>536645000</v>
          </cell>
          <cell r="DV673">
            <v>27120000</v>
          </cell>
          <cell r="EC673">
            <v>43515000</v>
          </cell>
          <cell r="EJ673">
            <v>80815000</v>
          </cell>
          <cell r="EQ673">
            <v>74905000</v>
          </cell>
          <cell r="EX673">
            <v>85270000</v>
          </cell>
          <cell r="FE673">
            <v>88960000</v>
          </cell>
          <cell r="FL673">
            <v>70885000</v>
          </cell>
          <cell r="FS673">
            <v>32845000</v>
          </cell>
          <cell r="FZ673">
            <v>726645000</v>
          </cell>
          <cell r="GG673">
            <v>158610000</v>
          </cell>
          <cell r="GN673">
            <v>140840000</v>
          </cell>
          <cell r="GU673">
            <v>142520000</v>
          </cell>
          <cell r="HB673">
            <v>143330000</v>
          </cell>
          <cell r="HI673">
            <v>75340000</v>
          </cell>
          <cell r="HP673">
            <v>38565000</v>
          </cell>
          <cell r="HW673">
            <v>104280000</v>
          </cell>
          <cell r="ID673">
            <v>107895000</v>
          </cell>
          <cell r="IK673">
            <v>122470000</v>
          </cell>
          <cell r="IR673">
            <v>4120000</v>
          </cell>
        </row>
        <row r="827">
          <cell r="AP827">
            <v>12345000</v>
          </cell>
          <cell r="AW827">
            <v>30015000</v>
          </cell>
          <cell r="BD827">
            <v>35955000</v>
          </cell>
          <cell r="BK827">
            <v>2420000</v>
          </cell>
          <cell r="BR827">
            <v>4320000</v>
          </cell>
          <cell r="BY827">
            <v>0</v>
          </cell>
          <cell r="CF827">
            <v>0</v>
          </cell>
          <cell r="CM827">
            <v>0</v>
          </cell>
          <cell r="CT827">
            <v>0</v>
          </cell>
          <cell r="DA827">
            <v>0</v>
          </cell>
          <cell r="DH827">
            <v>0</v>
          </cell>
          <cell r="DO827">
            <v>0</v>
          </cell>
          <cell r="DV827">
            <v>0</v>
          </cell>
          <cell r="EC827">
            <v>0</v>
          </cell>
          <cell r="EJ827">
            <v>0</v>
          </cell>
          <cell r="EQ827">
            <v>0</v>
          </cell>
          <cell r="EX827">
            <v>0</v>
          </cell>
          <cell r="FE827">
            <v>0</v>
          </cell>
          <cell r="FL827">
            <v>0</v>
          </cell>
          <cell r="FS827">
            <v>0</v>
          </cell>
          <cell r="FZ827">
            <v>0</v>
          </cell>
          <cell r="GG827">
            <v>0</v>
          </cell>
          <cell r="GN827">
            <v>0</v>
          </cell>
          <cell r="GU827">
            <v>0</v>
          </cell>
          <cell r="HB827">
            <v>0</v>
          </cell>
          <cell r="HI827">
            <v>0</v>
          </cell>
          <cell r="HP827">
            <v>0</v>
          </cell>
          <cell r="HW827">
            <v>0</v>
          </cell>
          <cell r="ID827">
            <v>0</v>
          </cell>
          <cell r="IK827">
            <v>0</v>
          </cell>
          <cell r="IR827">
            <v>0</v>
          </cell>
        </row>
      </sheetData>
      <sheetData sheetId="6">
        <row r="350">
          <cell r="AP350">
            <v>0</v>
          </cell>
          <cell r="AW350">
            <v>15460000</v>
          </cell>
          <cell r="BD350">
            <v>8920000</v>
          </cell>
          <cell r="BK350">
            <v>4770000</v>
          </cell>
          <cell r="BR350">
            <v>3050000</v>
          </cell>
          <cell r="BY350">
            <v>200000</v>
          </cell>
          <cell r="CF350">
            <v>65000</v>
          </cell>
          <cell r="CM350">
            <v>65000</v>
          </cell>
          <cell r="CT350">
            <v>65000</v>
          </cell>
          <cell r="DA350">
            <v>65000</v>
          </cell>
          <cell r="DH350">
            <v>1392965000</v>
          </cell>
          <cell r="DO350">
            <v>69010000</v>
          </cell>
          <cell r="DV350">
            <v>26995000</v>
          </cell>
          <cell r="EC350">
            <v>43150000</v>
          </cell>
          <cell r="EJ350">
            <v>79925000</v>
          </cell>
          <cell r="EQ350">
            <v>73740000</v>
          </cell>
          <cell r="EX350">
            <v>83655000</v>
          </cell>
          <cell r="FE350">
            <v>86960000</v>
          </cell>
          <cell r="FL350">
            <v>70550000</v>
          </cell>
          <cell r="FS350">
            <v>32690000</v>
          </cell>
          <cell r="FZ350">
            <v>543575000</v>
          </cell>
          <cell r="GG350">
            <v>157375000</v>
          </cell>
          <cell r="GN350">
            <v>140180000</v>
          </cell>
          <cell r="GU350">
            <v>141855000</v>
          </cell>
          <cell r="HB350">
            <v>142660000</v>
          </cell>
          <cell r="HI350">
            <v>74990000</v>
          </cell>
          <cell r="HP350">
            <v>38385000</v>
          </cell>
          <cell r="HW350">
            <v>103470000</v>
          </cell>
          <cell r="ID350">
            <v>106595000</v>
          </cell>
          <cell r="IK350">
            <v>119125000</v>
          </cell>
          <cell r="IR350">
            <v>4100000</v>
          </cell>
        </row>
      </sheetData>
      <sheetData sheetId="7"/>
      <sheetData sheetId="8">
        <row r="1">
          <cell r="E1">
            <v>1.25</v>
          </cell>
          <cell r="G1">
            <v>1</v>
          </cell>
        </row>
      </sheetData>
      <sheetData sheetId="9">
        <row r="1">
          <cell r="B1">
            <v>0.01</v>
          </cell>
        </row>
      </sheetData>
      <sheetData sheetId="10"/>
      <sheetData sheetId="11"/>
      <sheetData sheetId="12"/>
      <sheetData sheetId="13"/>
      <sheetData sheetId="14"/>
      <sheetData sheetId="15">
        <row r="1">
          <cell r="D1">
            <v>2010</v>
          </cell>
          <cell r="E1">
            <v>2011</v>
          </cell>
          <cell r="F1">
            <v>2012</v>
          </cell>
          <cell r="G1">
            <v>2013</v>
          </cell>
          <cell r="H1">
            <v>2014</v>
          </cell>
          <cell r="I1">
            <v>2015</v>
          </cell>
          <cell r="J1">
            <v>2016</v>
          </cell>
          <cell r="K1">
            <v>2017</v>
          </cell>
          <cell r="L1">
            <v>2018</v>
          </cell>
          <cell r="M1">
            <v>2019</v>
          </cell>
          <cell r="N1">
            <v>2020</v>
          </cell>
          <cell r="O1">
            <v>2021</v>
          </cell>
          <cell r="P1">
            <v>2022</v>
          </cell>
          <cell r="Q1">
            <v>2023</v>
          </cell>
          <cell r="R1">
            <v>2024</v>
          </cell>
          <cell r="S1">
            <v>2025</v>
          </cell>
          <cell r="T1">
            <v>2026</v>
          </cell>
          <cell r="U1">
            <v>2027</v>
          </cell>
          <cell r="V1">
            <v>2028</v>
          </cell>
          <cell r="W1">
            <v>2029</v>
          </cell>
          <cell r="X1">
            <v>2030</v>
          </cell>
          <cell r="Y1">
            <v>2031</v>
          </cell>
          <cell r="Z1">
            <v>2032</v>
          </cell>
          <cell r="AA1">
            <v>2033</v>
          </cell>
          <cell r="AB1">
            <v>2034</v>
          </cell>
          <cell r="AC1">
            <v>2035</v>
          </cell>
          <cell r="AD1">
            <v>2036</v>
          </cell>
          <cell r="AE1">
            <v>2037</v>
          </cell>
          <cell r="AF1">
            <v>2038</v>
          </cell>
          <cell r="AG1">
            <v>2039</v>
          </cell>
          <cell r="AH1">
            <v>2040</v>
          </cell>
          <cell r="AI1">
            <v>2041</v>
          </cell>
          <cell r="AJ1">
            <v>2042</v>
          </cell>
          <cell r="AK1">
            <v>2043</v>
          </cell>
          <cell r="AL1">
            <v>2044</v>
          </cell>
          <cell r="AM1">
            <v>2045</v>
          </cell>
          <cell r="AN1">
            <v>2046</v>
          </cell>
        </row>
        <row r="3">
          <cell r="D3">
            <v>295000</v>
          </cell>
          <cell r="E3">
            <v>295000</v>
          </cell>
          <cell r="F3">
            <v>295000</v>
          </cell>
          <cell r="G3">
            <v>295000</v>
          </cell>
          <cell r="H3">
            <v>295000</v>
          </cell>
          <cell r="I3">
            <v>295000</v>
          </cell>
          <cell r="J3">
            <v>295000</v>
          </cell>
          <cell r="K3">
            <v>295000</v>
          </cell>
          <cell r="L3">
            <v>295000</v>
          </cell>
          <cell r="M3">
            <v>295000</v>
          </cell>
          <cell r="N3">
            <v>295000</v>
          </cell>
          <cell r="O3">
            <v>295000</v>
          </cell>
          <cell r="P3">
            <v>295000</v>
          </cell>
          <cell r="Q3">
            <v>295000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row>
        <row r="10">
          <cell r="D10">
            <v>121604</v>
          </cell>
          <cell r="E10">
            <v>112370</v>
          </cell>
          <cell r="F10">
            <v>103137</v>
          </cell>
          <cell r="G10">
            <v>93903</v>
          </cell>
          <cell r="H10">
            <v>84670</v>
          </cell>
          <cell r="I10">
            <v>75436</v>
          </cell>
          <cell r="J10">
            <v>66203</v>
          </cell>
          <cell r="K10">
            <v>56969</v>
          </cell>
          <cell r="L10">
            <v>47736</v>
          </cell>
          <cell r="M10">
            <v>38502</v>
          </cell>
          <cell r="N10">
            <v>29269</v>
          </cell>
          <cell r="O10">
            <v>20035</v>
          </cell>
          <cell r="P10">
            <v>10802</v>
          </cell>
          <cell r="Q10">
            <v>1568</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row>
        <row r="86">
          <cell r="D86">
            <v>2010</v>
          </cell>
          <cell r="E86">
            <v>2011</v>
          </cell>
          <cell r="F86">
            <v>2012</v>
          </cell>
          <cell r="G86">
            <v>2013</v>
          </cell>
          <cell r="H86">
            <v>2014</v>
          </cell>
          <cell r="I86">
            <v>2015</v>
          </cell>
          <cell r="J86">
            <v>2016</v>
          </cell>
          <cell r="K86">
            <v>2017</v>
          </cell>
          <cell r="L86">
            <v>2018</v>
          </cell>
          <cell r="M86">
            <v>2019</v>
          </cell>
          <cell r="N86">
            <v>2020</v>
          </cell>
          <cell r="O86">
            <v>2021</v>
          </cell>
          <cell r="P86">
            <v>2022</v>
          </cell>
          <cell r="Q86">
            <v>2023</v>
          </cell>
          <cell r="R86">
            <v>2024</v>
          </cell>
          <cell r="S86">
            <v>2025</v>
          </cell>
          <cell r="T86">
            <v>2026</v>
          </cell>
          <cell r="U86">
            <v>2027</v>
          </cell>
          <cell r="V86">
            <v>2028</v>
          </cell>
          <cell r="W86">
            <v>2029</v>
          </cell>
          <cell r="X86">
            <v>2030</v>
          </cell>
          <cell r="Y86">
            <v>2031</v>
          </cell>
          <cell r="Z86">
            <v>2032</v>
          </cell>
          <cell r="AA86">
            <v>2033</v>
          </cell>
          <cell r="AB86">
            <v>2034</v>
          </cell>
          <cell r="AC86">
            <v>2035</v>
          </cell>
          <cell r="AD86">
            <v>2036</v>
          </cell>
          <cell r="AE86">
            <v>2037</v>
          </cell>
          <cell r="AF86">
            <v>2038</v>
          </cell>
          <cell r="AG86">
            <v>2039</v>
          </cell>
          <cell r="AH86">
            <v>2040</v>
          </cell>
          <cell r="AI86">
            <v>2041</v>
          </cell>
          <cell r="AJ86">
            <v>2042</v>
          </cell>
          <cell r="AK86">
            <v>2043</v>
          </cell>
          <cell r="AL86">
            <v>2044</v>
          </cell>
          <cell r="AM86">
            <v>2045</v>
          </cell>
          <cell r="AN86">
            <v>2046</v>
          </cell>
          <cell r="AO86">
            <v>2047</v>
          </cell>
          <cell r="AP86">
            <v>2048</v>
          </cell>
          <cell r="AQ86">
            <v>2049</v>
          </cell>
        </row>
        <row r="87">
          <cell r="D87">
            <v>3439002.5199999996</v>
          </cell>
          <cell r="E87">
            <v>3417304.23</v>
          </cell>
          <cell r="F87">
            <v>3395463.09</v>
          </cell>
          <cell r="G87">
            <v>3370386.6899999995</v>
          </cell>
          <cell r="H87">
            <v>3874700.87</v>
          </cell>
          <cell r="I87">
            <v>3853604.1100000003</v>
          </cell>
          <cell r="J87">
            <v>3643656.5</v>
          </cell>
          <cell r="K87">
            <v>3452960.35</v>
          </cell>
          <cell r="L87">
            <v>3451208.51</v>
          </cell>
          <cell r="M87">
            <v>3452990.6</v>
          </cell>
          <cell r="N87">
            <v>3404480.51</v>
          </cell>
          <cell r="O87">
            <v>3278474.05</v>
          </cell>
          <cell r="P87">
            <v>3285692.67</v>
          </cell>
          <cell r="Q87">
            <v>3291390.0700000003</v>
          </cell>
          <cell r="R87">
            <v>3301355.95</v>
          </cell>
          <cell r="S87">
            <v>3313379.7800000003</v>
          </cell>
          <cell r="T87">
            <v>3321123.9</v>
          </cell>
          <cell r="U87">
            <v>3332824.45</v>
          </cell>
          <cell r="V87">
            <v>3338563.49</v>
          </cell>
          <cell r="W87">
            <v>3351873.58</v>
          </cell>
          <cell r="X87">
            <v>3365153.99</v>
          </cell>
          <cell r="Y87">
            <v>3376668.7199999997</v>
          </cell>
          <cell r="Z87">
            <v>3381901.7199999997</v>
          </cell>
          <cell r="AA87">
            <v>3395082.52</v>
          </cell>
          <cell r="AB87">
            <v>3412442.64</v>
          </cell>
          <cell r="AC87">
            <v>3422880.76</v>
          </cell>
          <cell r="AD87">
            <v>3446685.1</v>
          </cell>
          <cell r="AE87">
            <v>2038903.52</v>
          </cell>
          <cell r="AF87">
            <v>2036403.52</v>
          </cell>
          <cell r="AG87">
            <v>0</v>
          </cell>
          <cell r="AH87">
            <v>0</v>
          </cell>
          <cell r="AI87">
            <v>0</v>
          </cell>
          <cell r="AJ87">
            <v>0</v>
          </cell>
          <cell r="AK87">
            <v>0</v>
          </cell>
          <cell r="AL87">
            <v>0</v>
          </cell>
          <cell r="AM87">
            <v>0</v>
          </cell>
          <cell r="AN87">
            <v>0</v>
          </cell>
          <cell r="AO87">
            <v>0</v>
          </cell>
          <cell r="AP87">
            <v>0</v>
          </cell>
          <cell r="AQ87">
            <v>0</v>
          </cell>
        </row>
      </sheetData>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ummary"/>
      <sheetName val="Fares &amp; Boardings"/>
      <sheetName val="Rail Schedules"/>
      <sheetName val="Rail Projects"/>
      <sheetName val="Rail Inc. Svc."/>
      <sheetName val="Bus Fleet"/>
      <sheetName val="Bus Acquisition"/>
      <sheetName val="Incmtl Bus Service"/>
      <sheetName val="PWD Projects"/>
      <sheetName val="Operations"/>
      <sheetName val="Combined Sources &amp; Uses"/>
      <sheetName val="Sales Tax Flow"/>
      <sheetName val="Coverage"/>
      <sheetName val="Existing SR Debt Service"/>
      <sheetName val="Rail Funding Detail"/>
      <sheetName val="FG Grant"/>
      <sheetName val="Chart Data"/>
      <sheetName val="Historic Budget vs Actual"/>
      <sheetName val="CITT"/>
      <sheetName val="Output"/>
    </sheetNames>
    <sheetDataSet>
      <sheetData sheetId="0" refreshError="1"/>
      <sheetData sheetId="1" refreshError="1"/>
      <sheetData sheetId="2" refreshError="1"/>
      <sheetData sheetId="3" refreshError="1"/>
      <sheetData sheetId="4">
        <row r="159">
          <cell r="A159">
            <v>2005</v>
          </cell>
          <cell r="B159">
            <v>0</v>
          </cell>
        </row>
        <row r="160">
          <cell r="A160">
            <v>2006</v>
          </cell>
          <cell r="B160">
            <v>182248875</v>
          </cell>
        </row>
        <row r="161">
          <cell r="A161">
            <v>2007</v>
          </cell>
          <cell r="B161">
            <v>783742100</v>
          </cell>
        </row>
        <row r="162">
          <cell r="A162">
            <v>2008</v>
          </cell>
          <cell r="B162">
            <v>930627600</v>
          </cell>
        </row>
        <row r="163">
          <cell r="A163">
            <v>2009</v>
          </cell>
          <cell r="B163">
            <v>846173625</v>
          </cell>
        </row>
        <row r="164">
          <cell r="A164">
            <v>2010</v>
          </cell>
          <cell r="B164">
            <v>549079437.5</v>
          </cell>
        </row>
        <row r="165">
          <cell r="A165">
            <v>2011</v>
          </cell>
          <cell r="B165">
            <v>555072312.5</v>
          </cell>
        </row>
        <row r="166">
          <cell r="A166">
            <v>2012</v>
          </cell>
          <cell r="B166">
            <v>571464037.5</v>
          </cell>
        </row>
        <row r="167">
          <cell r="A167">
            <v>2013</v>
          </cell>
          <cell r="B167">
            <v>496475887.5</v>
          </cell>
        </row>
        <row r="168">
          <cell r="A168">
            <v>2014</v>
          </cell>
          <cell r="B168">
            <v>304010125</v>
          </cell>
        </row>
        <row r="169">
          <cell r="A169">
            <v>2015</v>
          </cell>
          <cell r="B169">
            <v>265392000</v>
          </cell>
        </row>
        <row r="170">
          <cell r="A170">
            <v>2016</v>
          </cell>
          <cell r="B170">
            <v>170938250</v>
          </cell>
        </row>
        <row r="171">
          <cell r="A171">
            <v>2017</v>
          </cell>
          <cell r="B171">
            <v>66857250</v>
          </cell>
        </row>
        <row r="172">
          <cell r="A172">
            <v>2018</v>
          </cell>
          <cell r="B172">
            <v>0</v>
          </cell>
        </row>
        <row r="173">
          <cell r="A173">
            <v>2019</v>
          </cell>
          <cell r="B173">
            <v>0</v>
          </cell>
        </row>
        <row r="174">
          <cell r="A174">
            <v>2020</v>
          </cell>
          <cell r="B174">
            <v>0</v>
          </cell>
        </row>
        <row r="175">
          <cell r="A175">
            <v>2021</v>
          </cell>
          <cell r="B175">
            <v>0</v>
          </cell>
        </row>
        <row r="176">
          <cell r="A176">
            <v>2022</v>
          </cell>
          <cell r="B176">
            <v>0</v>
          </cell>
        </row>
        <row r="177">
          <cell r="A177">
            <v>2023</v>
          </cell>
          <cell r="B177">
            <v>0</v>
          </cell>
        </row>
        <row r="178">
          <cell r="A178">
            <v>2024</v>
          </cell>
          <cell r="B178">
            <v>0</v>
          </cell>
        </row>
        <row r="179">
          <cell r="A179">
            <v>2025</v>
          </cell>
          <cell r="B179">
            <v>0</v>
          </cell>
        </row>
        <row r="180">
          <cell r="A180">
            <v>2026</v>
          </cell>
          <cell r="B180">
            <v>0</v>
          </cell>
        </row>
        <row r="181">
          <cell r="A181">
            <v>2027</v>
          </cell>
          <cell r="B181">
            <v>0</v>
          </cell>
        </row>
        <row r="182">
          <cell r="A182">
            <v>2028</v>
          </cell>
          <cell r="B182">
            <v>0</v>
          </cell>
        </row>
        <row r="183">
          <cell r="A183">
            <v>2029</v>
          </cell>
          <cell r="B183">
            <v>0</v>
          </cell>
        </row>
        <row r="184">
          <cell r="A184">
            <v>2030</v>
          </cell>
          <cell r="B184">
            <v>0</v>
          </cell>
        </row>
        <row r="185">
          <cell r="A185">
            <v>2031</v>
          </cell>
          <cell r="B185">
            <v>0</v>
          </cell>
        </row>
        <row r="186">
          <cell r="A186">
            <v>2032</v>
          </cell>
          <cell r="B186">
            <v>0</v>
          </cell>
        </row>
        <row r="187">
          <cell r="A187">
            <v>2033</v>
          </cell>
          <cell r="B187">
            <v>0</v>
          </cell>
        </row>
        <row r="188">
          <cell r="A188">
            <v>2034</v>
          </cell>
          <cell r="B188">
            <v>0</v>
          </cell>
        </row>
        <row r="189">
          <cell r="A189">
            <v>2035</v>
          </cell>
          <cell r="B189">
            <v>0</v>
          </cell>
        </row>
      </sheetData>
      <sheetData sheetId="5" refreshError="1"/>
      <sheetData sheetId="6" refreshError="1"/>
      <sheetData sheetId="7">
        <row r="67">
          <cell r="AQ67">
            <v>5343.8871009457926</v>
          </cell>
          <cell r="AX67">
            <v>722589.29331459315</v>
          </cell>
          <cell r="BE67">
            <v>4215814.6903901361</v>
          </cell>
          <cell r="BL67">
            <v>420838.77271877817</v>
          </cell>
          <cell r="BS67">
            <v>2625030.3408530094</v>
          </cell>
          <cell r="BZ67">
            <v>469014.768252387</v>
          </cell>
          <cell r="CG67">
            <v>3861816.4465373675</v>
          </cell>
          <cell r="CN67">
            <v>3068431.3684562668</v>
          </cell>
          <cell r="CU67">
            <v>2523289.5828143116</v>
          </cell>
          <cell r="DB67">
            <v>4753785.6516376548</v>
          </cell>
          <cell r="DI67">
            <v>4234019.0864232499</v>
          </cell>
          <cell r="DP67">
            <v>5887785.4596967334</v>
          </cell>
          <cell r="DW67">
            <v>3698759.7684625499</v>
          </cell>
          <cell r="ED67">
            <v>5286834.1086460147</v>
          </cell>
          <cell r="EK67">
            <v>5811062.1739379996</v>
          </cell>
          <cell r="ER67">
            <v>1399062.2590191946</v>
          </cell>
          <cell r="EY67">
            <v>2963322.8986334177</v>
          </cell>
          <cell r="FF67">
            <v>813915.64381779754</v>
          </cell>
          <cell r="FM67">
            <v>4970051.6791728996</v>
          </cell>
          <cell r="FT67">
            <v>4257373.8880346436</v>
          </cell>
          <cell r="GA67">
            <v>3500028.0194326132</v>
          </cell>
          <cell r="GH67">
            <v>6600265.1490913229</v>
          </cell>
          <cell r="GO67">
            <v>5879055.6728359545</v>
          </cell>
          <cell r="GV67">
            <v>8176763.8199775936</v>
          </cell>
          <cell r="HC67">
            <v>5134530.9099453026</v>
          </cell>
          <cell r="HJ67">
            <v>7339525.6568538602</v>
          </cell>
          <cell r="HQ67">
            <v>8066098.0928434413</v>
          </cell>
          <cell r="HX67">
            <v>1934088.5558532935</v>
          </cell>
          <cell r="IE67">
            <v>4110058.2733033798</v>
          </cell>
          <cell r="IL67">
            <v>1123350.6046616551</v>
          </cell>
          <cell r="IS67">
            <v>6899372.6458444623</v>
          </cell>
        </row>
        <row r="131">
          <cell r="AQ131">
            <v>5000</v>
          </cell>
          <cell r="AX131">
            <v>6375000</v>
          </cell>
          <cell r="BE131">
            <v>37340000</v>
          </cell>
          <cell r="BL131">
            <v>3710000</v>
          </cell>
          <cell r="BS131">
            <v>23245000</v>
          </cell>
          <cell r="BZ131">
            <v>4140000</v>
          </cell>
          <cell r="CG131">
            <v>34210000</v>
          </cell>
          <cell r="CN131">
            <v>27170000</v>
          </cell>
          <cell r="CU131">
            <v>22345000</v>
          </cell>
          <cell r="DB131">
            <v>42115000</v>
          </cell>
          <cell r="DI131">
            <v>37510000</v>
          </cell>
          <cell r="DP131">
            <v>52165000</v>
          </cell>
          <cell r="DW131">
            <v>32765000</v>
          </cell>
          <cell r="ED131">
            <v>46835000</v>
          </cell>
          <cell r="EK131">
            <v>51485000</v>
          </cell>
          <cell r="ER131">
            <v>12375000</v>
          </cell>
          <cell r="EY131">
            <v>26245000</v>
          </cell>
          <cell r="FF131">
            <v>7190000</v>
          </cell>
          <cell r="FM131">
            <v>44020000</v>
          </cell>
          <cell r="FT131">
            <v>37715000</v>
          </cell>
          <cell r="GA131">
            <v>30995000</v>
          </cell>
          <cell r="GH131">
            <v>58485000</v>
          </cell>
          <cell r="GO131">
            <v>52085000</v>
          </cell>
          <cell r="GV131">
            <v>72455000</v>
          </cell>
          <cell r="HC131">
            <v>45490000</v>
          </cell>
          <cell r="HJ131">
            <v>65035000</v>
          </cell>
          <cell r="HQ131">
            <v>71475000</v>
          </cell>
          <cell r="HX131">
            <v>17120000</v>
          </cell>
          <cell r="IE131">
            <v>36405000</v>
          </cell>
          <cell r="IL131">
            <v>9935000</v>
          </cell>
          <cell r="IS131">
            <v>61130000</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ts"/>
      <sheetName val="Changes"/>
      <sheetName val="Billets"/>
      <sheetName val="PT&amp;Temp"/>
      <sheetName val="Nextel"/>
      <sheetName val="5615"/>
      <sheetName val="5615 (2)"/>
      <sheetName val="5619"/>
      <sheetName val="PT"/>
      <sheetName val="Exp Historical DB"/>
      <sheetName val="Non-Op DB"/>
      <sheetName val="Trans IS"/>
      <sheetName val="Summary for Marty"/>
      <sheetName val="Wksp Finc Ind"/>
      <sheetName val="Combined"/>
      <sheetName val="Wksp IS"/>
      <sheetName val="Marine IS"/>
      <sheetName val="Wksp Rollup"/>
      <sheetName val="IS"/>
      <sheetName val="2002 RU"/>
      <sheetName val="Maint"/>
      <sheetName val="Transition RU"/>
      <sheetName val="Trans Exp"/>
      <sheetName val="CC Historical"/>
      <sheetName val="RU No Admin"/>
      <sheetName val="IS no Admin"/>
      <sheetName val="GA IS"/>
      <sheetName val="GA RU"/>
      <sheetName val="JIA IS"/>
      <sheetName val="Craig IS"/>
      <sheetName val="Herlong IS "/>
      <sheetName val="Cecil IS"/>
      <sheetName val="153 S"/>
      <sheetName val="163 S"/>
      <sheetName val="133 S"/>
      <sheetName val="133 LD"/>
      <sheetName val="134 S"/>
      <sheetName val="134 LD"/>
      <sheetName val="135 S"/>
      <sheetName val="135 LD"/>
      <sheetName val="136 S"/>
      <sheetName val="136 LD"/>
      <sheetName val="137 S"/>
      <sheetName val="137 LD"/>
      <sheetName val="138 S"/>
      <sheetName val="138 LD"/>
      <sheetName val="139 S"/>
      <sheetName val="139 LD"/>
      <sheetName val="140 S"/>
      <sheetName val="140 LD"/>
      <sheetName val="141 S"/>
      <sheetName val="141 LD"/>
      <sheetName val="142 S"/>
      <sheetName val="142 LD"/>
      <sheetName val="143 S"/>
      <sheetName val="143 LD"/>
      <sheetName val="144 S"/>
      <sheetName val="144 LD"/>
      <sheetName val="145 S"/>
      <sheetName val="145 LD"/>
      <sheetName val="146 S"/>
      <sheetName val="146 LD"/>
      <sheetName val="147 S"/>
      <sheetName val="147 LD"/>
      <sheetName val="148 S"/>
      <sheetName val="148 LD"/>
      <sheetName val="149 S"/>
      <sheetName val="149 LD"/>
      <sheetName val="150 S"/>
      <sheetName val="150 LD"/>
      <sheetName val="151 S"/>
      <sheetName val="151 LD"/>
      <sheetName val="152 S"/>
      <sheetName val="152 LD"/>
      <sheetName val="154 S"/>
      <sheetName val="154 LD"/>
      <sheetName val="155 S"/>
      <sheetName val="155 LD"/>
      <sheetName val="156 S"/>
      <sheetName val="156 LD"/>
      <sheetName val="157 S"/>
      <sheetName val="157 LD"/>
      <sheetName val="158 S"/>
      <sheetName val="158 LD"/>
      <sheetName val="159 S"/>
      <sheetName val="159 LD"/>
      <sheetName val="160 S"/>
      <sheetName val="160 LD"/>
      <sheetName val="161 S"/>
      <sheetName val="161 LD"/>
      <sheetName val="162 S"/>
      <sheetName val="162 LD"/>
      <sheetName val="164 S"/>
      <sheetName val="164 LD"/>
      <sheetName val="165 S"/>
      <sheetName val="165 LD"/>
      <sheetName val="166 S"/>
      <sheetName val="166 LD"/>
      <sheetName val="168 S"/>
      <sheetName val="168 LD"/>
      <sheetName val="169 S"/>
      <sheetName val="169 LD"/>
      <sheetName val="200 S"/>
      <sheetName val="250 S"/>
      <sheetName val="350 S"/>
      <sheetName val="400 S"/>
      <sheetName val="450 S"/>
      <sheetName val="500 S"/>
      <sheetName val="550 S"/>
      <sheetName val="575 S"/>
      <sheetName val="200 LD"/>
      <sheetName val="250 LD"/>
      <sheetName val="350 LD"/>
      <sheetName val="400 LD"/>
      <sheetName val="450 LD"/>
      <sheetName val="500 LD"/>
      <sheetName val="550 LD"/>
      <sheetName val="575 LD"/>
      <sheetName val="Mar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C Analysis"/>
      <sheetName val="JaxPort Cash Flow"/>
      <sheetName val="IncStmt"/>
      <sheetName val="Addt'l Debt Service"/>
      <sheetName val="Construction"/>
      <sheetName val="Existing Debt"/>
      <sheetName val="Excise Tax Allocation"/>
    </sheetNames>
    <sheetDataSet>
      <sheetData sheetId="0" refreshError="1"/>
      <sheetData sheetId="1" refreshError="1"/>
      <sheetData sheetId="2">
        <row r="11">
          <cell r="T11">
            <v>0.05</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autoPageBreaks="0" fitToPage="1"/>
  </sheetPr>
  <dimension ref="A1:T39"/>
  <sheetViews>
    <sheetView tabSelected="1" topLeftCell="B1" zoomScaleNormal="100" workbookViewId="0">
      <selection activeCell="B1" sqref="B1"/>
    </sheetView>
  </sheetViews>
  <sheetFormatPr defaultColWidth="0" defaultRowHeight="13.2" zeroHeight="1"/>
  <cols>
    <col min="1" max="2" width="9.375" style="1" customWidth="1"/>
    <col min="3" max="3" width="140.5" style="1" customWidth="1"/>
    <col min="4" max="6" width="9.375" style="1" customWidth="1"/>
    <col min="7" max="20" width="0" style="1" hidden="1" customWidth="1"/>
    <col min="21" max="16384" width="9.375" style="1" hidden="1"/>
  </cols>
  <sheetData>
    <row r="1" spans="3:18"/>
    <row r="2" spans="3:18"/>
    <row r="3" spans="3:18"/>
    <row r="4" spans="3:18"/>
    <row r="5" spans="3:18"/>
    <row r="6" spans="3:18"/>
    <row r="7" spans="3:18" s="150" customFormat="1" ht="17.399999999999999">
      <c r="C7" s="225" t="s">
        <v>136</v>
      </c>
    </row>
    <row r="8" spans="3:18" ht="12" customHeight="1"/>
    <row r="9" spans="3:18" ht="15.6">
      <c r="C9" s="227" t="s">
        <v>101</v>
      </c>
    </row>
    <row r="10" spans="3:18" ht="6.75" customHeight="1"/>
    <row r="11" spans="3:18" ht="68.25" customHeight="1">
      <c r="C11" s="145" t="s">
        <v>150</v>
      </c>
      <c r="D11" s="145"/>
      <c r="E11" s="145"/>
      <c r="F11" s="145"/>
      <c r="G11" s="145"/>
      <c r="H11" s="145"/>
      <c r="I11" s="145"/>
      <c r="J11" s="145"/>
      <c r="K11" s="145"/>
      <c r="L11" s="145"/>
      <c r="M11" s="145"/>
      <c r="N11" s="145"/>
      <c r="O11" s="145"/>
      <c r="P11" s="145"/>
      <c r="Q11" s="145"/>
      <c r="R11" s="145"/>
    </row>
    <row r="12" spans="3:18"/>
    <row r="13" spans="3:18">
      <c r="C13" s="204" t="s">
        <v>137</v>
      </c>
      <c r="D13" s="203"/>
    </row>
    <row r="14" spans="3:18">
      <c r="C14" s="1" t="s">
        <v>138</v>
      </c>
      <c r="D14" s="190"/>
    </row>
    <row r="15" spans="3:18">
      <c r="C15" s="1" t="s">
        <v>139</v>
      </c>
      <c r="D15" s="190"/>
    </row>
    <row r="16" spans="3:18">
      <c r="C16" s="1" t="s">
        <v>140</v>
      </c>
      <c r="D16" s="190"/>
    </row>
    <row r="17" spans="3:4">
      <c r="C17" s="204" t="s">
        <v>141</v>
      </c>
      <c r="D17" s="190"/>
    </row>
    <row r="18" spans="3:4">
      <c r="C18" s="1" t="s">
        <v>142</v>
      </c>
      <c r="D18" s="190"/>
    </row>
    <row r="19" spans="3:4">
      <c r="C19" s="1" t="s">
        <v>143</v>
      </c>
      <c r="D19" s="190"/>
    </row>
    <row r="20" spans="3:4">
      <c r="C20" s="1" t="s">
        <v>144</v>
      </c>
      <c r="D20" s="190"/>
    </row>
    <row r="21" spans="3:4">
      <c r="C21" s="204" t="s">
        <v>124</v>
      </c>
      <c r="D21" s="190"/>
    </row>
    <row r="22" spans="3:4">
      <c r="C22" s="1" t="s">
        <v>125</v>
      </c>
      <c r="D22" s="190"/>
    </row>
    <row r="23" spans="3:4">
      <c r="C23" s="1" t="s">
        <v>126</v>
      </c>
      <c r="D23" s="190"/>
    </row>
    <row r="24" spans="3:4">
      <c r="C24" s="1" t="s">
        <v>127</v>
      </c>
      <c r="D24" s="190"/>
    </row>
    <row r="25" spans="3:4"/>
    <row r="26" spans="3:4">
      <c r="C26" s="220" t="s">
        <v>106</v>
      </c>
    </row>
    <row r="27" spans="3:4"/>
    <row r="28" spans="3:4">
      <c r="C28" s="1" t="s">
        <v>151</v>
      </c>
    </row>
    <row r="29" spans="3:4"/>
    <row r="30" spans="3:4"/>
    <row r="31" spans="3:4"/>
    <row r="32" spans="3:4"/>
    <row r="33"/>
    <row r="34"/>
    <row r="35"/>
    <row r="36"/>
    <row r="37"/>
    <row r="38"/>
    <row r="39"/>
  </sheetData>
  <printOptions horizontalCentered="1"/>
  <pageMargins left="0.7" right="0.7" top="0.75" bottom="0.75" header="0.3" footer="0.3"/>
  <pageSetup orientation="landscape" r:id="rId1"/>
  <headerFooter scaleWithDoc="0">
    <oddFooter xml:space="preserve">&amp;L&amp;"Arial,Regular"&amp;7Port Concession Evaluation Model&amp;R&amp;"Arial,Regular"&amp;7Copyright Public Financial Management, Inc.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I70"/>
  <sheetViews>
    <sheetView workbookViewId="0"/>
  </sheetViews>
  <sheetFormatPr defaultColWidth="0" defaultRowHeight="13.2" zeroHeight="1"/>
  <cols>
    <col min="1" max="1" width="5.5" style="8" customWidth="1"/>
    <col min="2" max="2" width="10.5" style="8" customWidth="1"/>
    <col min="3" max="3" width="16.625" style="9" customWidth="1"/>
    <col min="4" max="4" width="14.875" style="9" customWidth="1"/>
    <col min="5" max="5" width="2.5" style="8" customWidth="1"/>
    <col min="6" max="6" width="9.5" style="8" customWidth="1"/>
    <col min="7" max="7" width="15.375" style="8" customWidth="1"/>
    <col min="8" max="8" width="20.875" style="8" customWidth="1"/>
    <col min="9" max="9" width="7.625" style="8" customWidth="1"/>
    <col min="10" max="10" width="11.875" style="9" customWidth="1"/>
    <col min="11" max="11" width="15" style="8" customWidth="1"/>
    <col min="12" max="12" width="20.875" style="8" customWidth="1"/>
    <col min="13" max="13" width="7.125" style="8" customWidth="1"/>
    <col min="14" max="14" width="8.5" style="8" bestFit="1" customWidth="1"/>
    <col min="15" max="15" width="13.125" style="8" customWidth="1"/>
    <col min="16" max="16" width="15.875" style="8" customWidth="1"/>
    <col min="17" max="17" width="17.875" style="8" bestFit="1" customWidth="1"/>
    <col min="18" max="18" width="21.125" style="8" customWidth="1"/>
    <col min="19" max="19" width="18.125" style="8" bestFit="1" customWidth="1"/>
    <col min="20" max="20" width="18.125" style="8" customWidth="1"/>
    <col min="21" max="21" width="16.875" style="8" customWidth="1"/>
    <col min="22" max="22" width="11.875" style="8" bestFit="1" customWidth="1"/>
    <col min="23" max="23" width="13.625" style="8" bestFit="1" customWidth="1"/>
    <col min="24" max="24" width="14" style="8" customWidth="1"/>
    <col min="25" max="25" width="15.375" style="8" customWidth="1"/>
    <col min="26" max="26" width="17.875" style="8" bestFit="1" customWidth="1"/>
    <col min="27" max="27" width="3.625" style="8" customWidth="1"/>
    <col min="28" max="28" width="8.5" style="8" bestFit="1" customWidth="1"/>
    <col min="29" max="29" width="15.625" style="8" customWidth="1"/>
    <col min="30" max="30" width="15.5" style="8" customWidth="1"/>
    <col min="31" max="31" width="21.125" style="8" customWidth="1"/>
    <col min="32" max="35" width="9.375" style="8" customWidth="1"/>
    <col min="36" max="16384" width="9.375" style="8" hidden="1"/>
  </cols>
  <sheetData>
    <row r="1" spans="1:31"/>
    <row r="2" spans="1:31"/>
    <row r="3" spans="1:31" ht="16.8" thickBot="1">
      <c r="N3" s="268" t="s">
        <v>145</v>
      </c>
      <c r="O3" s="268"/>
      <c r="P3" s="268"/>
      <c r="Q3" s="268"/>
      <c r="R3" s="268"/>
      <c r="S3" s="268"/>
      <c r="T3" s="268"/>
      <c r="U3" s="268"/>
      <c r="V3" s="268"/>
      <c r="W3" s="268"/>
      <c r="X3" s="268"/>
      <c r="Y3" s="268"/>
      <c r="Z3" s="268"/>
      <c r="AA3" s="268"/>
      <c r="AB3" s="268"/>
      <c r="AC3" s="268"/>
      <c r="AD3" s="268"/>
      <c r="AE3" s="268"/>
    </row>
    <row r="4" spans="1:31" ht="16.5" customHeight="1" thickTop="1" thickBot="1">
      <c r="B4" s="268" t="s">
        <v>97</v>
      </c>
      <c r="C4" s="268"/>
      <c r="D4" s="268"/>
      <c r="E4" s="268"/>
      <c r="F4" s="268"/>
      <c r="G4" s="268"/>
      <c r="H4" s="268"/>
      <c r="J4" s="268" t="s">
        <v>99</v>
      </c>
      <c r="K4" s="268"/>
      <c r="L4" s="268"/>
    </row>
    <row r="5" spans="1:31" ht="13.8" thickTop="1">
      <c r="N5" s="273" t="s">
        <v>0</v>
      </c>
      <c r="O5" s="256" t="str">
        <f>TEXT('I. Assumptions'!E7, "General") &amp;" Senior Lien"</f>
        <v>AAPA Port Authority Senior Lien</v>
      </c>
      <c r="P5" s="257"/>
      <c r="Q5" s="257"/>
      <c r="R5" s="257"/>
      <c r="S5" s="257"/>
      <c r="T5" s="257"/>
      <c r="U5" s="257"/>
      <c r="V5" s="257"/>
      <c r="W5" s="258"/>
      <c r="X5" s="279" t="str">
        <f>TEXT('I. Assumptions'!E7, "General") &amp; " Subordinate Lien"</f>
        <v>AAPA Port Authority Subordinate Lien</v>
      </c>
      <c r="Y5" s="265"/>
      <c r="Z5" s="266"/>
    </row>
    <row r="6" spans="1:31" ht="14.25" customHeight="1">
      <c r="A6" s="10"/>
      <c r="B6" s="270" t="s">
        <v>98</v>
      </c>
      <c r="C6" s="271"/>
      <c r="D6" s="272"/>
      <c r="F6" s="270" t="str">
        <f>TEXT('I. Assumptions'!E7, "General")</f>
        <v>AAPA Port Authority</v>
      </c>
      <c r="G6" s="271"/>
      <c r="H6" s="272"/>
      <c r="J6" s="270" t="str">
        <f>TEXT('I. Assumptions'!E7, "General")</f>
        <v>AAPA Port Authority</v>
      </c>
      <c r="K6" s="271"/>
      <c r="L6" s="272"/>
      <c r="N6" s="274"/>
      <c r="O6" s="276" t="s">
        <v>81</v>
      </c>
      <c r="P6" s="277"/>
      <c r="Q6" s="278"/>
      <c r="R6" s="276" t="s">
        <v>82</v>
      </c>
      <c r="S6" s="278"/>
      <c r="T6" s="276" t="s">
        <v>83</v>
      </c>
      <c r="U6" s="277"/>
      <c r="V6" s="277"/>
      <c r="W6" s="278"/>
      <c r="X6" s="276" t="s">
        <v>81</v>
      </c>
      <c r="Y6" s="277"/>
      <c r="Z6" s="278"/>
      <c r="AB6" s="252" t="s">
        <v>0</v>
      </c>
      <c r="AC6" s="276" t="s">
        <v>123</v>
      </c>
      <c r="AD6" s="277"/>
      <c r="AE6" s="278"/>
    </row>
    <row r="7" spans="1:31" s="11" customFormat="1">
      <c r="A7" s="12"/>
      <c r="B7" s="147" t="s">
        <v>0</v>
      </c>
      <c r="C7" s="13" t="s">
        <v>9</v>
      </c>
      <c r="D7" s="14" t="s">
        <v>10</v>
      </c>
      <c r="F7" s="146" t="s">
        <v>0</v>
      </c>
      <c r="G7" s="102" t="s">
        <v>9</v>
      </c>
      <c r="H7" s="102" t="s">
        <v>10</v>
      </c>
      <c r="J7" s="172" t="s">
        <v>0</v>
      </c>
      <c r="K7" s="172" t="s">
        <v>41</v>
      </c>
      <c r="L7" s="172" t="s">
        <v>55</v>
      </c>
      <c r="N7" s="275"/>
      <c r="O7" s="193" t="s">
        <v>6</v>
      </c>
      <c r="P7" s="194" t="s">
        <v>4</v>
      </c>
      <c r="Q7" s="195" t="s">
        <v>7</v>
      </c>
      <c r="R7" s="58" t="s">
        <v>64</v>
      </c>
      <c r="S7" s="54" t="s">
        <v>63</v>
      </c>
      <c r="T7" s="58" t="s">
        <v>64</v>
      </c>
      <c r="U7" s="59" t="s">
        <v>63</v>
      </c>
      <c r="V7" s="59" t="s">
        <v>4</v>
      </c>
      <c r="W7" s="54" t="s">
        <v>7</v>
      </c>
      <c r="X7" s="193" t="s">
        <v>6</v>
      </c>
      <c r="Y7" s="194" t="s">
        <v>4</v>
      </c>
      <c r="Z7" s="195" t="s">
        <v>7</v>
      </c>
      <c r="AB7" s="253"/>
      <c r="AC7" s="193" t="s">
        <v>6</v>
      </c>
      <c r="AD7" s="194" t="s">
        <v>4</v>
      </c>
      <c r="AE7" s="195" t="s">
        <v>7</v>
      </c>
    </row>
    <row r="8" spans="1:31">
      <c r="A8" s="12"/>
      <c r="B8" s="176">
        <v>2015</v>
      </c>
      <c r="C8" s="156">
        <v>10615866.581421999</v>
      </c>
      <c r="D8" s="157">
        <f>C8*0.6835</f>
        <v>7255944.8084019367</v>
      </c>
      <c r="F8" s="3">
        <f>B8</f>
        <v>2015</v>
      </c>
      <c r="G8" s="162">
        <v>44270858.702151798</v>
      </c>
      <c r="H8" s="163">
        <f>G8*0.5</f>
        <v>22135429.351075899</v>
      </c>
      <c r="J8" s="15">
        <f>F8</f>
        <v>2015</v>
      </c>
      <c r="K8" s="173">
        <v>13489823.73</v>
      </c>
      <c r="L8" s="173">
        <v>5098326.26</v>
      </c>
      <c r="N8" s="176">
        <f>J8</f>
        <v>2015</v>
      </c>
      <c r="O8" s="169"/>
      <c r="P8" s="170"/>
      <c r="Q8" s="171"/>
      <c r="R8" s="169"/>
      <c r="S8" s="171"/>
      <c r="T8" s="169"/>
      <c r="U8" s="170"/>
      <c r="V8" s="170"/>
      <c r="W8" s="171"/>
      <c r="X8" s="72"/>
      <c r="Y8" s="73"/>
      <c r="Z8" s="74">
        <f>X8+Y8</f>
        <v>0</v>
      </c>
      <c r="AB8" s="176">
        <f>N8</f>
        <v>2015</v>
      </c>
      <c r="AC8" s="169"/>
      <c r="AD8" s="170">
        <v>0</v>
      </c>
      <c r="AE8" s="171">
        <v>0</v>
      </c>
    </row>
    <row r="9" spans="1:31">
      <c r="A9" s="12"/>
      <c r="B9" s="177">
        <f>B8+1</f>
        <v>2016</v>
      </c>
      <c r="C9" s="156">
        <v>26893532.122798398</v>
      </c>
      <c r="D9" s="157">
        <f t="shared" ref="D9:D59" si="0">C9*0.6835</f>
        <v>18381729.205932707</v>
      </c>
      <c r="F9" s="5">
        <f t="shared" ref="F9:F59" si="1">B9</f>
        <v>2016</v>
      </c>
      <c r="G9" s="164">
        <v>46046626.889344297</v>
      </c>
      <c r="H9" s="161">
        <f t="shared" ref="H9:H59" si="2">G9*0.5</f>
        <v>23023313.444672149</v>
      </c>
      <c r="J9" s="15">
        <f t="shared" ref="J9:J59" si="3">F9</f>
        <v>2016</v>
      </c>
      <c r="K9" s="173">
        <v>13580527.149999999</v>
      </c>
      <c r="L9" s="173">
        <v>5098326.26</v>
      </c>
      <c r="N9" s="177">
        <f t="shared" ref="N9:N59" si="4">J9</f>
        <v>2016</v>
      </c>
      <c r="P9" s="170">
        <v>6529793.5</v>
      </c>
      <c r="Q9" s="171">
        <f>O9+P9</f>
        <v>6529793.5</v>
      </c>
      <c r="R9" s="169">
        <v>0</v>
      </c>
      <c r="S9" s="171">
        <v>0</v>
      </c>
      <c r="T9" s="169">
        <v>0</v>
      </c>
      <c r="U9" s="170">
        <v>0</v>
      </c>
      <c r="V9" s="170">
        <v>0</v>
      </c>
      <c r="W9" s="171"/>
      <c r="X9" s="169">
        <v>0</v>
      </c>
      <c r="Y9" s="170">
        <v>3370800</v>
      </c>
      <c r="Z9" s="171">
        <v>3370800</v>
      </c>
      <c r="AB9" s="177">
        <f t="shared" ref="AB9:AB59" si="5">N9</f>
        <v>2016</v>
      </c>
      <c r="AC9" s="169">
        <v>0</v>
      </c>
      <c r="AD9" s="170">
        <v>7493252.5499999998</v>
      </c>
      <c r="AE9" s="171">
        <v>7493252.5499999998</v>
      </c>
    </row>
    <row r="10" spans="1:31">
      <c r="A10" s="12"/>
      <c r="B10" s="177">
        <f t="shared" ref="B10:B59" si="6">B9+1</f>
        <v>2017</v>
      </c>
      <c r="C10" s="156">
        <v>31463430.663299501</v>
      </c>
      <c r="D10" s="157">
        <f t="shared" si="0"/>
        <v>21505254.858365208</v>
      </c>
      <c r="F10" s="5">
        <f t="shared" si="1"/>
        <v>2017</v>
      </c>
      <c r="G10" s="164">
        <v>47084315.438898563</v>
      </c>
      <c r="H10" s="161">
        <f t="shared" si="2"/>
        <v>23542157.719449282</v>
      </c>
      <c r="J10" s="15">
        <f t="shared" si="3"/>
        <v>2017</v>
      </c>
      <c r="K10" s="173">
        <v>13678195.670000002</v>
      </c>
      <c r="L10" s="173">
        <v>5098326.26</v>
      </c>
      <c r="N10" s="177">
        <f t="shared" si="4"/>
        <v>2017</v>
      </c>
      <c r="O10" s="169">
        <v>0</v>
      </c>
      <c r="P10" s="170">
        <v>6529793.5</v>
      </c>
      <c r="Q10" s="171">
        <f>O10+P10</f>
        <v>6529793.5</v>
      </c>
      <c r="R10" s="169">
        <v>0</v>
      </c>
      <c r="S10" s="171">
        <v>0</v>
      </c>
      <c r="T10" s="169">
        <v>0</v>
      </c>
      <c r="U10" s="170">
        <v>0</v>
      </c>
      <c r="V10" s="170">
        <v>0</v>
      </c>
      <c r="W10" s="171"/>
      <c r="X10" s="169">
        <v>0</v>
      </c>
      <c r="Y10" s="170">
        <v>3370800</v>
      </c>
      <c r="Z10" s="171">
        <v>3370800</v>
      </c>
      <c r="AB10" s="177">
        <f t="shared" si="5"/>
        <v>2017</v>
      </c>
      <c r="AC10" s="169">
        <v>0</v>
      </c>
      <c r="AD10" s="170">
        <v>7481796.3499999996</v>
      </c>
      <c r="AE10" s="171">
        <v>7481796.3499999996</v>
      </c>
    </row>
    <row r="11" spans="1:31">
      <c r="A11" s="12"/>
      <c r="B11" s="177">
        <f t="shared" si="6"/>
        <v>2018</v>
      </c>
      <c r="C11" s="156">
        <v>36345526.392493501</v>
      </c>
      <c r="D11" s="157">
        <f t="shared" si="0"/>
        <v>24842167.289269309</v>
      </c>
      <c r="F11" s="5">
        <f t="shared" si="1"/>
        <v>2018</v>
      </c>
      <c r="G11" s="164">
        <v>49487395.741311103</v>
      </c>
      <c r="H11" s="161">
        <f t="shared" si="2"/>
        <v>24743697.870655552</v>
      </c>
      <c r="J11" s="15">
        <f t="shared" si="3"/>
        <v>2018</v>
      </c>
      <c r="K11" s="173">
        <v>13793934.220000001</v>
      </c>
      <c r="L11" s="173">
        <v>5098326.26</v>
      </c>
      <c r="N11" s="177">
        <f t="shared" si="4"/>
        <v>2018</v>
      </c>
      <c r="O11" s="169">
        <v>0</v>
      </c>
      <c r="P11" s="170">
        <v>6529793.5</v>
      </c>
      <c r="Q11" s="171">
        <f t="shared" ref="Q11:Q39" si="7">O11+P11</f>
        <v>6529793.5</v>
      </c>
      <c r="R11" s="169"/>
      <c r="S11" s="171"/>
      <c r="T11" s="169">
        <v>0</v>
      </c>
      <c r="U11" s="170">
        <v>0</v>
      </c>
      <c r="V11" s="170">
        <v>0</v>
      </c>
      <c r="W11" s="171">
        <v>0</v>
      </c>
      <c r="X11" s="169">
        <v>0</v>
      </c>
      <c r="Y11" s="170">
        <v>3370800</v>
      </c>
      <c r="Z11" s="171">
        <v>3370800</v>
      </c>
      <c r="AB11" s="177">
        <f t="shared" si="5"/>
        <v>2018</v>
      </c>
      <c r="AC11" s="169">
        <v>0</v>
      </c>
      <c r="AD11" s="170">
        <v>7471243.1499999994</v>
      </c>
      <c r="AE11" s="171">
        <v>7471243.1499999994</v>
      </c>
    </row>
    <row r="12" spans="1:31">
      <c r="A12" s="12"/>
      <c r="B12" s="177">
        <f t="shared" si="6"/>
        <v>2019</v>
      </c>
      <c r="C12" s="156">
        <v>91561147.373523101</v>
      </c>
      <c r="D12" s="157">
        <f t="shared" si="0"/>
        <v>62582044.229803041</v>
      </c>
      <c r="F12" s="5">
        <f t="shared" si="1"/>
        <v>2019</v>
      </c>
      <c r="G12" s="164">
        <v>52027409.688198842</v>
      </c>
      <c r="H12" s="161">
        <f t="shared" si="2"/>
        <v>26013704.844099421</v>
      </c>
      <c r="J12" s="15">
        <f t="shared" si="3"/>
        <v>2019</v>
      </c>
      <c r="K12" s="173">
        <v>14393059.210000001</v>
      </c>
      <c r="L12" s="173">
        <v>5098326.26</v>
      </c>
      <c r="N12" s="177">
        <f t="shared" si="4"/>
        <v>2019</v>
      </c>
      <c r="O12" s="169">
        <v>0</v>
      </c>
      <c r="P12" s="170">
        <v>6529793.5</v>
      </c>
      <c r="Q12" s="171">
        <f t="shared" si="7"/>
        <v>6529793.5</v>
      </c>
      <c r="R12" s="169"/>
      <c r="S12" s="171"/>
      <c r="T12" s="169">
        <v>0</v>
      </c>
      <c r="U12" s="170">
        <v>0</v>
      </c>
      <c r="V12" s="170">
        <v>0</v>
      </c>
      <c r="W12" s="171">
        <v>0</v>
      </c>
      <c r="X12" s="169">
        <v>0</v>
      </c>
      <c r="Y12" s="170">
        <v>3370800</v>
      </c>
      <c r="Z12" s="171">
        <v>3370800</v>
      </c>
      <c r="AB12" s="177">
        <f t="shared" si="5"/>
        <v>2019</v>
      </c>
      <c r="AC12" s="169">
        <v>0</v>
      </c>
      <c r="AD12" s="170">
        <v>7460445.9999999991</v>
      </c>
      <c r="AE12" s="171">
        <v>7460445.9999999991</v>
      </c>
    </row>
    <row r="13" spans="1:31">
      <c r="B13" s="177">
        <f t="shared" si="6"/>
        <v>2020</v>
      </c>
      <c r="C13" s="156">
        <v>97133078.717492595</v>
      </c>
      <c r="D13" s="157">
        <f t="shared" si="0"/>
        <v>66390459.303406186</v>
      </c>
      <c r="F13" s="5">
        <f t="shared" si="1"/>
        <v>2020</v>
      </c>
      <c r="G13" s="164">
        <v>54712992.565184943</v>
      </c>
      <c r="H13" s="161">
        <f t="shared" si="2"/>
        <v>27356496.282592472</v>
      </c>
      <c r="J13" s="15">
        <f t="shared" si="3"/>
        <v>2020</v>
      </c>
      <c r="K13" s="173">
        <v>14888560.279999999</v>
      </c>
      <c r="L13" s="173">
        <v>5100457.5</v>
      </c>
      <c r="N13" s="177">
        <f t="shared" si="4"/>
        <v>2020</v>
      </c>
      <c r="O13" s="169">
        <v>0</v>
      </c>
      <c r="P13" s="170">
        <v>6529793.5</v>
      </c>
      <c r="Q13" s="171">
        <f t="shared" si="7"/>
        <v>6529793.5</v>
      </c>
      <c r="R13" s="169">
        <v>4230540.8</v>
      </c>
      <c r="S13" s="171">
        <v>5360000</v>
      </c>
      <c r="T13" s="169">
        <v>0</v>
      </c>
      <c r="U13" s="170">
        <v>0</v>
      </c>
      <c r="V13" s="170">
        <v>0</v>
      </c>
      <c r="W13" s="171">
        <v>0</v>
      </c>
      <c r="X13" s="169">
        <v>0</v>
      </c>
      <c r="Y13" s="170">
        <v>3370800</v>
      </c>
      <c r="Z13" s="171">
        <v>3370800</v>
      </c>
      <c r="AB13" s="177">
        <f t="shared" si="5"/>
        <v>2020</v>
      </c>
      <c r="AC13" s="169">
        <v>0</v>
      </c>
      <c r="AD13" s="170">
        <v>7449728.2999999998</v>
      </c>
      <c r="AE13" s="171">
        <v>7449728.2999999998</v>
      </c>
    </row>
    <row r="14" spans="1:31">
      <c r="B14" s="177">
        <f t="shared" si="6"/>
        <v>2021</v>
      </c>
      <c r="C14" s="156">
        <v>103085662.123156</v>
      </c>
      <c r="D14" s="157">
        <f t="shared" si="0"/>
        <v>70459050.06117712</v>
      </c>
      <c r="F14" s="5">
        <f t="shared" si="1"/>
        <v>2021</v>
      </c>
      <c r="G14" s="164">
        <v>57483796.935715713</v>
      </c>
      <c r="H14" s="161">
        <f t="shared" si="2"/>
        <v>28741898.467857856</v>
      </c>
      <c r="J14" s="15">
        <f t="shared" si="3"/>
        <v>2021</v>
      </c>
      <c r="K14" s="173">
        <v>10344414.91</v>
      </c>
      <c r="L14" s="173">
        <v>5098482.51</v>
      </c>
      <c r="N14" s="177">
        <f t="shared" si="4"/>
        <v>2021</v>
      </c>
      <c r="O14" s="169">
        <v>0</v>
      </c>
      <c r="P14" s="170">
        <v>6529793.5</v>
      </c>
      <c r="Q14" s="171">
        <f t="shared" si="7"/>
        <v>6529793.5</v>
      </c>
      <c r="R14" s="169">
        <v>3959110.4</v>
      </c>
      <c r="S14" s="171">
        <v>5360000</v>
      </c>
      <c r="T14" s="169">
        <v>0</v>
      </c>
      <c r="U14" s="170">
        <v>0</v>
      </c>
      <c r="V14" s="170">
        <v>0</v>
      </c>
      <c r="W14" s="171">
        <v>0</v>
      </c>
      <c r="X14" s="169">
        <v>0</v>
      </c>
      <c r="Y14" s="170">
        <v>3370800</v>
      </c>
      <c r="Z14" s="171">
        <v>3370800</v>
      </c>
      <c r="AB14" s="177">
        <f t="shared" si="5"/>
        <v>2021</v>
      </c>
      <c r="AC14" s="169">
        <v>0</v>
      </c>
      <c r="AD14" s="170">
        <v>7458494.0499999998</v>
      </c>
      <c r="AE14" s="171">
        <v>7458494.0499999998</v>
      </c>
    </row>
    <row r="15" spans="1:31">
      <c r="B15" s="177">
        <f t="shared" si="6"/>
        <v>2022</v>
      </c>
      <c r="C15" s="156">
        <v>109444902.21676201</v>
      </c>
      <c r="D15" s="157">
        <f t="shared" si="0"/>
        <v>74805590.665156826</v>
      </c>
      <c r="F15" s="5">
        <f t="shared" si="1"/>
        <v>2022</v>
      </c>
      <c r="G15" s="164">
        <v>60408107.292263158</v>
      </c>
      <c r="H15" s="161">
        <f t="shared" si="2"/>
        <v>30204053.646131579</v>
      </c>
      <c r="J15" s="15">
        <f t="shared" si="3"/>
        <v>2022</v>
      </c>
      <c r="K15" s="173">
        <v>10344771.84</v>
      </c>
      <c r="L15" s="173">
        <v>5098751.25</v>
      </c>
      <c r="N15" s="177">
        <f t="shared" si="4"/>
        <v>2022</v>
      </c>
      <c r="O15" s="169">
        <v>0</v>
      </c>
      <c r="P15" s="170">
        <v>6529793.5</v>
      </c>
      <c r="Q15" s="171">
        <f t="shared" si="7"/>
        <v>6529793.5</v>
      </c>
      <c r="R15" s="169">
        <v>3699954.4</v>
      </c>
      <c r="S15" s="171">
        <v>5360000</v>
      </c>
      <c r="T15" s="169">
        <v>0</v>
      </c>
      <c r="U15" s="170">
        <v>0</v>
      </c>
      <c r="V15" s="170">
        <v>0</v>
      </c>
      <c r="W15" s="171">
        <v>0</v>
      </c>
      <c r="X15" s="169">
        <v>0</v>
      </c>
      <c r="Y15" s="170">
        <v>3370800</v>
      </c>
      <c r="Z15" s="171">
        <v>3370800</v>
      </c>
      <c r="AB15" s="177">
        <f t="shared" si="5"/>
        <v>2022</v>
      </c>
      <c r="AC15" s="169">
        <v>0</v>
      </c>
      <c r="AD15" s="170">
        <v>7459192.9999999991</v>
      </c>
      <c r="AE15" s="171">
        <v>7459192.9999999991</v>
      </c>
    </row>
    <row r="16" spans="1:31">
      <c r="A16" s="16"/>
      <c r="B16" s="177">
        <f t="shared" si="6"/>
        <v>2023</v>
      </c>
      <c r="C16" s="156">
        <v>112238580.15660299</v>
      </c>
      <c r="D16" s="157">
        <f t="shared" si="0"/>
        <v>76715069.537038147</v>
      </c>
      <c r="F16" s="5">
        <f t="shared" si="1"/>
        <v>2023</v>
      </c>
      <c r="G16" s="164">
        <v>63495113.883416824</v>
      </c>
      <c r="H16" s="161">
        <f t="shared" si="2"/>
        <v>31747556.941708412</v>
      </c>
      <c r="J16" s="15">
        <f t="shared" si="3"/>
        <v>2023</v>
      </c>
      <c r="K16" s="173">
        <v>10343041.279999999</v>
      </c>
      <c r="L16" s="173">
        <v>5101001.25</v>
      </c>
      <c r="N16" s="177">
        <f t="shared" si="4"/>
        <v>2023</v>
      </c>
      <c r="O16" s="169">
        <v>475000</v>
      </c>
      <c r="P16" s="170">
        <v>6519628.5</v>
      </c>
      <c r="Q16" s="171">
        <f t="shared" si="7"/>
        <v>6994628.5</v>
      </c>
      <c r="R16" s="169">
        <v>3466580.0000000005</v>
      </c>
      <c r="S16" s="171">
        <v>5360000</v>
      </c>
      <c r="T16" s="169">
        <v>0</v>
      </c>
      <c r="U16" s="170">
        <v>0</v>
      </c>
      <c r="V16" s="170">
        <v>0</v>
      </c>
      <c r="W16" s="171">
        <v>0</v>
      </c>
      <c r="X16" s="169">
        <v>540000</v>
      </c>
      <c r="Y16" s="170">
        <v>3354600</v>
      </c>
      <c r="Z16" s="171">
        <v>3894600</v>
      </c>
      <c r="AB16" s="177">
        <f t="shared" si="5"/>
        <v>2023</v>
      </c>
      <c r="AC16" s="169">
        <v>3066000</v>
      </c>
      <c r="AD16" s="170">
        <v>7397413.0999999996</v>
      </c>
      <c r="AE16" s="171">
        <v>10463413.1</v>
      </c>
    </row>
    <row r="17" spans="2:31">
      <c r="B17" s="177">
        <f t="shared" si="6"/>
        <v>2024</v>
      </c>
      <c r="C17" s="156">
        <v>113496374.99858128</v>
      </c>
      <c r="D17" s="157">
        <f t="shared" si="0"/>
        <v>77574772.311530307</v>
      </c>
      <c r="F17" s="5">
        <f t="shared" si="1"/>
        <v>2024</v>
      </c>
      <c r="G17" s="164">
        <v>66754591.565925561</v>
      </c>
      <c r="H17" s="161">
        <f t="shared" si="2"/>
        <v>33377295.78296278</v>
      </c>
      <c r="J17" s="15">
        <f t="shared" si="3"/>
        <v>2024</v>
      </c>
      <c r="K17" s="173">
        <v>10344353.51</v>
      </c>
      <c r="L17" s="173">
        <v>5100101.25</v>
      </c>
      <c r="N17" s="177">
        <f t="shared" si="4"/>
        <v>2024</v>
      </c>
      <c r="O17" s="169">
        <v>495000</v>
      </c>
      <c r="P17" s="170">
        <v>6498202.25</v>
      </c>
      <c r="Q17" s="171">
        <f t="shared" si="7"/>
        <v>6993202.25</v>
      </c>
      <c r="R17" s="169">
        <v>4627023</v>
      </c>
      <c r="S17" s="171">
        <v>7660000</v>
      </c>
      <c r="T17" s="169">
        <v>0</v>
      </c>
      <c r="U17" s="170">
        <v>0</v>
      </c>
      <c r="V17" s="170">
        <v>0</v>
      </c>
      <c r="W17" s="171">
        <v>0</v>
      </c>
      <c r="X17" s="169">
        <v>575000</v>
      </c>
      <c r="Y17" s="170">
        <v>3321150</v>
      </c>
      <c r="Z17" s="171">
        <v>3896150</v>
      </c>
      <c r="AB17" s="177">
        <f t="shared" si="5"/>
        <v>2024</v>
      </c>
      <c r="AC17" s="169">
        <v>3195500</v>
      </c>
      <c r="AD17" s="170">
        <v>7267728.8249999993</v>
      </c>
      <c r="AE17" s="171">
        <v>10463228.824999999</v>
      </c>
    </row>
    <row r="18" spans="2:31">
      <c r="B18" s="177">
        <f t="shared" si="6"/>
        <v>2025</v>
      </c>
      <c r="C18" s="156">
        <v>121249993.35298435</v>
      </c>
      <c r="D18" s="157">
        <f t="shared" si="0"/>
        <v>82874370.456764802</v>
      </c>
      <c r="F18" s="5">
        <f t="shared" si="1"/>
        <v>2025</v>
      </c>
      <c r="G18" s="164">
        <v>70127268.755186081</v>
      </c>
      <c r="H18" s="161">
        <f t="shared" si="2"/>
        <v>35063634.37759304</v>
      </c>
      <c r="J18" s="15">
        <f t="shared" si="3"/>
        <v>2025</v>
      </c>
      <c r="K18" s="173">
        <v>10341423.33</v>
      </c>
      <c r="L18" s="173">
        <v>5100920.01</v>
      </c>
      <c r="N18" s="177">
        <f t="shared" si="4"/>
        <v>2025</v>
      </c>
      <c r="O18" s="169">
        <v>520000</v>
      </c>
      <c r="P18" s="170">
        <v>6474565</v>
      </c>
      <c r="Q18" s="171">
        <f t="shared" si="7"/>
        <v>6994565</v>
      </c>
      <c r="R18" s="169">
        <v>4322691.2</v>
      </c>
      <c r="S18" s="171">
        <v>7660000</v>
      </c>
      <c r="T18" s="169">
        <v>0</v>
      </c>
      <c r="U18" s="170">
        <v>0</v>
      </c>
      <c r="V18" s="170">
        <v>0</v>
      </c>
      <c r="W18" s="171">
        <v>0</v>
      </c>
      <c r="X18" s="169">
        <v>610000</v>
      </c>
      <c r="Y18" s="170">
        <v>3285600</v>
      </c>
      <c r="Z18" s="171">
        <v>3895600</v>
      </c>
      <c r="AB18" s="177">
        <f t="shared" si="5"/>
        <v>2025</v>
      </c>
      <c r="AC18" s="169">
        <v>3339000</v>
      </c>
      <c r="AD18" s="170">
        <v>7124530</v>
      </c>
      <c r="AE18" s="171">
        <v>10463530</v>
      </c>
    </row>
    <row r="19" spans="2:31">
      <c r="B19" s="177">
        <f t="shared" si="6"/>
        <v>2026</v>
      </c>
      <c r="C19" s="156">
        <v>129533307.89888683</v>
      </c>
      <c r="D19" s="157">
        <f t="shared" si="0"/>
        <v>88536015.948889151</v>
      </c>
      <c r="F19" s="5">
        <f t="shared" si="1"/>
        <v>2026</v>
      </c>
      <c r="G19" s="164">
        <v>73569329.846874401</v>
      </c>
      <c r="H19" s="161">
        <f t="shared" si="2"/>
        <v>36784664.9234372</v>
      </c>
      <c r="J19" s="15">
        <f t="shared" si="3"/>
        <v>2026</v>
      </c>
      <c r="K19" s="173">
        <v>10345949.65</v>
      </c>
      <c r="L19" s="173">
        <v>5098326.26</v>
      </c>
      <c r="N19" s="177">
        <f t="shared" si="4"/>
        <v>2026</v>
      </c>
      <c r="O19" s="169">
        <v>545000</v>
      </c>
      <c r="P19" s="170">
        <v>6448891</v>
      </c>
      <c r="Q19" s="171">
        <f t="shared" si="7"/>
        <v>6993891</v>
      </c>
      <c r="R19" s="169">
        <v>2415166.1999999997</v>
      </c>
      <c r="S19" s="171">
        <v>4590000</v>
      </c>
      <c r="T19" s="169">
        <v>0</v>
      </c>
      <c r="U19" s="170">
        <v>0</v>
      </c>
      <c r="V19" s="170">
        <v>3065703.5</v>
      </c>
      <c r="W19" s="171">
        <v>3065703.5</v>
      </c>
      <c r="X19" s="169">
        <v>650000</v>
      </c>
      <c r="Y19" s="170">
        <v>3247800</v>
      </c>
      <c r="Z19" s="171">
        <v>3897800</v>
      </c>
      <c r="AB19" s="177">
        <f t="shared" si="5"/>
        <v>2026</v>
      </c>
      <c r="AC19" s="169">
        <v>3496500</v>
      </c>
      <c r="AD19" s="170">
        <v>6968291.5749999993</v>
      </c>
      <c r="AE19" s="171">
        <v>10464791.574999999</v>
      </c>
    </row>
    <row r="20" spans="2:31">
      <c r="B20" s="177">
        <f t="shared" si="6"/>
        <v>2027</v>
      </c>
      <c r="C20" s="156">
        <v>138382505.36130717</v>
      </c>
      <c r="D20" s="157">
        <f t="shared" si="0"/>
        <v>94584442.414453447</v>
      </c>
      <c r="F20" s="5">
        <f t="shared" si="1"/>
        <v>2027</v>
      </c>
      <c r="G20" s="164">
        <v>77191355.92078419</v>
      </c>
      <c r="H20" s="161">
        <f t="shared" si="2"/>
        <v>38595677.960392095</v>
      </c>
      <c r="J20" s="15">
        <f t="shared" si="3"/>
        <v>2027</v>
      </c>
      <c r="K20" s="173">
        <v>10344410.800000001</v>
      </c>
      <c r="L20" s="173">
        <v>5097188.76</v>
      </c>
      <c r="N20" s="177">
        <f t="shared" si="4"/>
        <v>2027</v>
      </c>
      <c r="O20" s="169">
        <v>570000</v>
      </c>
      <c r="P20" s="170">
        <v>6421314.5</v>
      </c>
      <c r="Q20" s="171">
        <f t="shared" si="7"/>
        <v>6991314.5</v>
      </c>
      <c r="R20" s="169">
        <v>2247631.2000000002</v>
      </c>
      <c r="S20" s="171">
        <v>4590000</v>
      </c>
      <c r="T20" s="169">
        <v>0</v>
      </c>
      <c r="U20" s="170">
        <v>0</v>
      </c>
      <c r="V20" s="170">
        <v>3065703.5</v>
      </c>
      <c r="W20" s="171">
        <v>3065703.5</v>
      </c>
      <c r="X20" s="169">
        <v>695000</v>
      </c>
      <c r="Y20" s="170">
        <v>3207450</v>
      </c>
      <c r="Z20" s="171">
        <v>3902450</v>
      </c>
      <c r="AB20" s="177">
        <f t="shared" si="5"/>
        <v>2027</v>
      </c>
      <c r="AC20" s="169">
        <v>3664500</v>
      </c>
      <c r="AD20" s="170">
        <v>6800132.5</v>
      </c>
      <c r="AE20" s="171">
        <v>10464632.5</v>
      </c>
    </row>
    <row r="21" spans="2:31">
      <c r="B21" s="177">
        <f t="shared" si="6"/>
        <v>2028</v>
      </c>
      <c r="C21" s="156">
        <v>147836244.59757021</v>
      </c>
      <c r="D21" s="157">
        <f t="shared" si="0"/>
        <v>101046073.18243924</v>
      </c>
      <c r="F21" s="5">
        <f t="shared" si="1"/>
        <v>2028</v>
      </c>
      <c r="G21" s="164">
        <v>81003288.754543155</v>
      </c>
      <c r="H21" s="161">
        <f t="shared" si="2"/>
        <v>40501644.377271578</v>
      </c>
      <c r="J21" s="15">
        <f t="shared" si="3"/>
        <v>2028</v>
      </c>
      <c r="K21" s="173">
        <v>10340992.960000001</v>
      </c>
      <c r="L21" s="173">
        <v>5097245.01</v>
      </c>
      <c r="N21" s="177">
        <f t="shared" si="4"/>
        <v>2028</v>
      </c>
      <c r="O21" s="169">
        <v>605000</v>
      </c>
      <c r="P21" s="170">
        <v>6391578.25</v>
      </c>
      <c r="Q21" s="171">
        <f t="shared" si="7"/>
        <v>6996578.25</v>
      </c>
      <c r="R21" s="169">
        <v>2095289.1</v>
      </c>
      <c r="S21" s="171">
        <v>4590000</v>
      </c>
      <c r="T21" s="169">
        <v>0</v>
      </c>
      <c r="U21" s="170">
        <v>0</v>
      </c>
      <c r="V21" s="170">
        <v>3065703.5</v>
      </c>
      <c r="W21" s="171">
        <v>3065703.5</v>
      </c>
      <c r="X21" s="169">
        <v>735000</v>
      </c>
      <c r="Y21" s="170">
        <v>3164550</v>
      </c>
      <c r="Z21" s="171">
        <v>3899550</v>
      </c>
      <c r="AB21" s="177">
        <f t="shared" si="5"/>
        <v>2028</v>
      </c>
      <c r="AC21" s="169">
        <v>3842999.9999999995</v>
      </c>
      <c r="AD21" s="170">
        <v>6619532.5</v>
      </c>
      <c r="AE21" s="171">
        <v>10462532.5</v>
      </c>
    </row>
    <row r="22" spans="2:31">
      <c r="B22" s="177">
        <f t="shared" si="6"/>
        <v>2029</v>
      </c>
      <c r="C22" s="156">
        <v>157935825.4834978</v>
      </c>
      <c r="D22" s="157">
        <f t="shared" si="0"/>
        <v>107949136.71797074</v>
      </c>
      <c r="F22" s="5">
        <f t="shared" si="1"/>
        <v>2029</v>
      </c>
      <c r="G22" s="164">
        <v>85015645.098994568</v>
      </c>
      <c r="H22" s="161">
        <f t="shared" si="2"/>
        <v>42507822.549497284</v>
      </c>
      <c r="J22" s="15">
        <f t="shared" si="3"/>
        <v>2029</v>
      </c>
      <c r="K22" s="173">
        <v>10343562.640000001</v>
      </c>
      <c r="L22" s="173">
        <v>5098232.51</v>
      </c>
      <c r="N22" s="177">
        <f t="shared" si="4"/>
        <v>2029</v>
      </c>
      <c r="O22" s="169">
        <v>635000</v>
      </c>
      <c r="P22" s="170">
        <v>6359578.75</v>
      </c>
      <c r="Q22" s="171">
        <f t="shared" si="7"/>
        <v>6994578.75</v>
      </c>
      <c r="R22" s="169">
        <v>0</v>
      </c>
      <c r="S22" s="171">
        <v>0</v>
      </c>
      <c r="T22" s="169">
        <v>2808876.5999999996</v>
      </c>
      <c r="U22" s="170">
        <v>4740000</v>
      </c>
      <c r="V22" s="170">
        <v>2919000.5</v>
      </c>
      <c r="W22" s="171">
        <v>7659000.5</v>
      </c>
      <c r="X22" s="169">
        <v>780000</v>
      </c>
      <c r="Y22" s="170">
        <v>3119100</v>
      </c>
      <c r="Z22" s="171">
        <v>3899100</v>
      </c>
      <c r="AB22" s="177">
        <f t="shared" si="5"/>
        <v>2029</v>
      </c>
      <c r="AC22" s="169">
        <v>4035499.9999999995</v>
      </c>
      <c r="AD22" s="170">
        <v>6426067.1999999993</v>
      </c>
      <c r="AE22" s="171">
        <v>10461567.199999999</v>
      </c>
    </row>
    <row r="23" spans="2:31">
      <c r="B23" s="177">
        <f t="shared" si="6"/>
        <v>2030</v>
      </c>
      <c r="C23" s="156">
        <v>168725369.33722845</v>
      </c>
      <c r="D23" s="157">
        <f t="shared" si="0"/>
        <v>115323789.94199564</v>
      </c>
      <c r="F23" s="5">
        <f t="shared" si="1"/>
        <v>2030</v>
      </c>
      <c r="G23" s="164">
        <v>89239551.181792364</v>
      </c>
      <c r="H23" s="161">
        <f t="shared" si="2"/>
        <v>44619775.590896182</v>
      </c>
      <c r="J23" s="15">
        <f t="shared" si="3"/>
        <v>2030</v>
      </c>
      <c r="K23" s="173">
        <v>10342059.33</v>
      </c>
      <c r="L23" s="173">
        <v>5099888.76</v>
      </c>
      <c r="N23" s="177">
        <f t="shared" si="4"/>
        <v>2030</v>
      </c>
      <c r="O23" s="169">
        <v>670000</v>
      </c>
      <c r="P23" s="170">
        <v>6325248.5</v>
      </c>
      <c r="Q23" s="171">
        <f t="shared" si="7"/>
        <v>6995248.5</v>
      </c>
      <c r="R23" s="169">
        <v>0</v>
      </c>
      <c r="S23" s="171">
        <v>0</v>
      </c>
      <c r="T23" s="169">
        <v>2974683.35</v>
      </c>
      <c r="U23" s="170">
        <v>5045000</v>
      </c>
      <c r="V23" s="170">
        <v>2614641.25</v>
      </c>
      <c r="W23" s="171">
        <v>7659641.25</v>
      </c>
      <c r="X23" s="169">
        <v>825000</v>
      </c>
      <c r="Y23" s="170">
        <v>3070950</v>
      </c>
      <c r="Z23" s="171">
        <v>3895950</v>
      </c>
      <c r="AB23" s="177">
        <f t="shared" si="5"/>
        <v>2030</v>
      </c>
      <c r="AC23" s="169">
        <v>4245500</v>
      </c>
      <c r="AD23" s="170">
        <v>6218575.6499999994</v>
      </c>
      <c r="AE23" s="171">
        <v>10464075.649999999</v>
      </c>
    </row>
    <row r="24" spans="2:31">
      <c r="B24" s="177">
        <f t="shared" si="6"/>
        <v>2031</v>
      </c>
      <c r="C24" s="156">
        <v>180252011.66887054</v>
      </c>
      <c r="D24" s="157">
        <f t="shared" si="0"/>
        <v>123202249.975673</v>
      </c>
      <c r="F24" s="5">
        <f t="shared" si="1"/>
        <v>2031</v>
      </c>
      <c r="G24" s="164">
        <v>93686779.342723921</v>
      </c>
      <c r="H24" s="161">
        <f t="shared" si="2"/>
        <v>46843389.67136196</v>
      </c>
      <c r="J24" s="15">
        <f t="shared" si="3"/>
        <v>2031</v>
      </c>
      <c r="K24" s="173">
        <v>10343048.73</v>
      </c>
      <c r="L24" s="173">
        <v>5097082.5</v>
      </c>
      <c r="N24" s="177">
        <f t="shared" si="4"/>
        <v>2031</v>
      </c>
      <c r="O24" s="169">
        <v>705000</v>
      </c>
      <c r="P24" s="170">
        <v>6288495.5</v>
      </c>
      <c r="Q24" s="171">
        <f t="shared" si="7"/>
        <v>6993495.5</v>
      </c>
      <c r="R24" s="169">
        <v>0</v>
      </c>
      <c r="S24" s="171">
        <v>0</v>
      </c>
      <c r="T24" s="169">
        <v>3147947.7</v>
      </c>
      <c r="U24" s="170">
        <v>5370000</v>
      </c>
      <c r="V24" s="170">
        <v>2287293</v>
      </c>
      <c r="W24" s="171">
        <v>7657293</v>
      </c>
      <c r="X24" s="169">
        <v>880000</v>
      </c>
      <c r="Y24" s="170">
        <v>3019800</v>
      </c>
      <c r="Z24" s="171">
        <v>3899800</v>
      </c>
      <c r="AB24" s="177">
        <f t="shared" si="5"/>
        <v>2031</v>
      </c>
      <c r="AC24" s="169">
        <v>4466000</v>
      </c>
      <c r="AD24" s="170">
        <v>5996611.5999999996</v>
      </c>
      <c r="AE24" s="171">
        <v>10462611.6</v>
      </c>
    </row>
    <row r="25" spans="2:31">
      <c r="B25" s="177">
        <f t="shared" si="6"/>
        <v>2032</v>
      </c>
      <c r="C25" s="156">
        <v>192566108.09804106</v>
      </c>
      <c r="D25" s="157">
        <f t="shared" si="0"/>
        <v>131618934.88501106</v>
      </c>
      <c r="F25" s="5">
        <f t="shared" si="1"/>
        <v>2032</v>
      </c>
      <c r="G25" s="164">
        <v>98369786.935502842</v>
      </c>
      <c r="H25" s="161">
        <f t="shared" si="2"/>
        <v>49184893.467751421</v>
      </c>
      <c r="J25" s="15">
        <f t="shared" si="3"/>
        <v>2032</v>
      </c>
      <c r="K25" s="173">
        <v>10343700</v>
      </c>
      <c r="L25" s="173">
        <v>5099551.25</v>
      </c>
      <c r="N25" s="177">
        <f t="shared" si="4"/>
        <v>2032</v>
      </c>
      <c r="O25" s="169">
        <v>745000</v>
      </c>
      <c r="P25" s="170">
        <v>6249267</v>
      </c>
      <c r="Q25" s="171">
        <f t="shared" si="7"/>
        <v>6994267</v>
      </c>
      <c r="R25" s="169">
        <v>0</v>
      </c>
      <c r="S25" s="171">
        <v>0</v>
      </c>
      <c r="T25" s="169">
        <v>3336418.8</v>
      </c>
      <c r="U25" s="170">
        <v>5720000</v>
      </c>
      <c r="V25" s="170">
        <v>1935133</v>
      </c>
      <c r="W25" s="171">
        <v>7655133</v>
      </c>
      <c r="X25" s="169">
        <v>930000</v>
      </c>
      <c r="Y25" s="170">
        <v>2965500</v>
      </c>
      <c r="Z25" s="171">
        <v>3895500</v>
      </c>
      <c r="AB25" s="177">
        <f t="shared" si="5"/>
        <v>2032</v>
      </c>
      <c r="AC25" s="169">
        <v>4704000</v>
      </c>
      <c r="AD25" s="170">
        <v>5759989.8999999994</v>
      </c>
      <c r="AE25" s="171">
        <v>10463989.899999999</v>
      </c>
    </row>
    <row r="26" spans="2:31">
      <c r="B26" s="177">
        <f t="shared" si="6"/>
        <v>2033</v>
      </c>
      <c r="C26" s="156">
        <v>205721454.33886683</v>
      </c>
      <c r="D26" s="157">
        <f t="shared" si="0"/>
        <v>140610614.04061547</v>
      </c>
      <c r="F26" s="5">
        <f t="shared" si="1"/>
        <v>2033</v>
      </c>
      <c r="G26" s="164">
        <v>103301757.63944359</v>
      </c>
      <c r="H26" s="161">
        <f t="shared" si="2"/>
        <v>51650878.819721796</v>
      </c>
      <c r="J26" s="15">
        <f t="shared" si="3"/>
        <v>2033</v>
      </c>
      <c r="K26" s="173">
        <v>10342275</v>
      </c>
      <c r="L26" s="173">
        <v>5097032.51</v>
      </c>
      <c r="N26" s="177">
        <f t="shared" si="4"/>
        <v>2033</v>
      </c>
      <c r="O26" s="169">
        <v>790000</v>
      </c>
      <c r="P26" s="170">
        <v>6207278</v>
      </c>
      <c r="Q26" s="171">
        <f t="shared" si="7"/>
        <v>6997278</v>
      </c>
      <c r="R26" s="169">
        <v>0</v>
      </c>
      <c r="S26" s="171">
        <v>0</v>
      </c>
      <c r="T26" s="169">
        <v>3543307</v>
      </c>
      <c r="U26" s="170">
        <v>6100000</v>
      </c>
      <c r="V26" s="170">
        <v>1556550</v>
      </c>
      <c r="W26" s="171">
        <v>7656550</v>
      </c>
      <c r="X26" s="169">
        <v>995000</v>
      </c>
      <c r="Y26" s="170">
        <v>2907750</v>
      </c>
      <c r="Z26" s="171">
        <v>3902750</v>
      </c>
      <c r="AB26" s="177">
        <f t="shared" si="5"/>
        <v>2033</v>
      </c>
      <c r="AC26" s="169">
        <v>4956000</v>
      </c>
      <c r="AD26" s="170">
        <v>5507826.0999999996</v>
      </c>
      <c r="AE26" s="171">
        <v>10463826.1</v>
      </c>
    </row>
    <row r="27" spans="2:31">
      <c r="B27" s="177">
        <f t="shared" si="6"/>
        <v>2034</v>
      </c>
      <c r="C27" s="156">
        <v>219775521.21348086</v>
      </c>
      <c r="D27" s="157">
        <f t="shared" si="0"/>
        <v>150216568.74941418</v>
      </c>
      <c r="F27" s="5">
        <f t="shared" si="1"/>
        <v>2034</v>
      </c>
      <c r="G27" s="164">
        <v>107600390.25735271</v>
      </c>
      <c r="H27" s="161">
        <f t="shared" si="2"/>
        <v>53800195.128676355</v>
      </c>
      <c r="J27" s="15">
        <f t="shared" si="3"/>
        <v>2034</v>
      </c>
      <c r="K27" s="173">
        <v>10345550</v>
      </c>
      <c r="L27" s="173">
        <v>5099263.75</v>
      </c>
      <c r="N27" s="177">
        <f t="shared" si="4"/>
        <v>2034</v>
      </c>
      <c r="O27" s="169">
        <v>830000</v>
      </c>
      <c r="P27" s="170">
        <v>6162437.5</v>
      </c>
      <c r="Q27" s="171">
        <f t="shared" si="7"/>
        <v>6992437.5</v>
      </c>
      <c r="R27" s="169">
        <v>0</v>
      </c>
      <c r="S27" s="171">
        <v>0</v>
      </c>
      <c r="T27" s="169">
        <v>3768899.4</v>
      </c>
      <c r="U27" s="170">
        <v>6510000</v>
      </c>
      <c r="V27" s="170">
        <v>1149836.5</v>
      </c>
      <c r="W27" s="171">
        <v>7659836.5</v>
      </c>
      <c r="X27" s="169">
        <v>1050000</v>
      </c>
      <c r="Y27" s="170">
        <v>2846400</v>
      </c>
      <c r="Z27" s="171">
        <v>3896400</v>
      </c>
      <c r="AB27" s="177">
        <f t="shared" si="5"/>
        <v>2034</v>
      </c>
      <c r="AC27" s="169">
        <v>5225500</v>
      </c>
      <c r="AD27" s="170">
        <v>5238732.7999999998</v>
      </c>
      <c r="AE27" s="171">
        <v>10464232.799999999</v>
      </c>
    </row>
    <row r="28" spans="2:31">
      <c r="B28" s="177">
        <f t="shared" si="6"/>
        <v>2035</v>
      </c>
      <c r="C28" s="156">
        <v>234789705.72070101</v>
      </c>
      <c r="D28" s="157">
        <f t="shared" si="0"/>
        <v>160478763.86009914</v>
      </c>
      <c r="F28" s="5">
        <f t="shared" si="1"/>
        <v>2035</v>
      </c>
      <c r="G28" s="164">
        <v>112088823.27275477</v>
      </c>
      <c r="H28" s="161">
        <f t="shared" si="2"/>
        <v>56044411.636377387</v>
      </c>
      <c r="J28" s="15">
        <f t="shared" si="3"/>
        <v>2035</v>
      </c>
      <c r="K28" s="173">
        <v>10341750</v>
      </c>
      <c r="L28" s="173">
        <v>5100851.25</v>
      </c>
      <c r="N28" s="177">
        <f t="shared" si="4"/>
        <v>2035</v>
      </c>
      <c r="O28" s="169">
        <v>880000</v>
      </c>
      <c r="P28" s="170">
        <v>6114550</v>
      </c>
      <c r="Q28" s="171">
        <f t="shared" si="7"/>
        <v>6994550</v>
      </c>
      <c r="R28" s="169">
        <v>0</v>
      </c>
      <c r="S28" s="171">
        <v>0</v>
      </c>
      <c r="T28" s="169">
        <v>4004070.3000000003</v>
      </c>
      <c r="U28" s="170">
        <v>6945000</v>
      </c>
      <c r="V28" s="170">
        <v>712831</v>
      </c>
      <c r="W28" s="171">
        <v>7657831</v>
      </c>
      <c r="X28" s="169">
        <v>1115000</v>
      </c>
      <c r="Y28" s="170">
        <v>2781450</v>
      </c>
      <c r="Z28" s="171">
        <v>3896450</v>
      </c>
      <c r="AB28" s="177">
        <f t="shared" si="5"/>
        <v>2035</v>
      </c>
      <c r="AC28" s="169">
        <v>5512500</v>
      </c>
      <c r="AD28" s="170">
        <v>4951448.25</v>
      </c>
      <c r="AE28" s="171">
        <v>10463948.25</v>
      </c>
    </row>
    <row r="29" spans="2:31">
      <c r="B29" s="177">
        <f t="shared" si="6"/>
        <v>2036</v>
      </c>
      <c r="C29" s="156">
        <v>250829599.25671637</v>
      </c>
      <c r="D29" s="157">
        <f t="shared" si="0"/>
        <v>171442031.09196565</v>
      </c>
      <c r="F29" s="5">
        <f t="shared" si="1"/>
        <v>2036</v>
      </c>
      <c r="G29" s="164">
        <v>116775917.26755449</v>
      </c>
      <c r="H29" s="161">
        <f t="shared" si="2"/>
        <v>58387958.633777246</v>
      </c>
      <c r="J29" s="15">
        <f t="shared" si="3"/>
        <v>2036</v>
      </c>
      <c r="K29" s="173">
        <v>10343125</v>
      </c>
      <c r="L29" s="173">
        <v>3311906.25</v>
      </c>
      <c r="N29" s="177">
        <f t="shared" si="4"/>
        <v>2036</v>
      </c>
      <c r="O29" s="169">
        <v>930000</v>
      </c>
      <c r="P29" s="170">
        <v>6063366</v>
      </c>
      <c r="Q29" s="171">
        <f t="shared" si="7"/>
        <v>6993366</v>
      </c>
      <c r="R29" s="169">
        <v>0</v>
      </c>
      <c r="S29" s="171">
        <v>0</v>
      </c>
      <c r="T29" s="169">
        <v>4260807.3</v>
      </c>
      <c r="U29" s="170">
        <v>7415000</v>
      </c>
      <c r="V29" s="170">
        <v>243211.99999999997</v>
      </c>
      <c r="W29" s="171">
        <v>7658212</v>
      </c>
      <c r="X29" s="169">
        <v>3030000</v>
      </c>
      <c r="Y29" s="170">
        <v>2657100</v>
      </c>
      <c r="Z29" s="171">
        <v>5687100</v>
      </c>
      <c r="AB29" s="177">
        <f t="shared" si="5"/>
        <v>2036</v>
      </c>
      <c r="AC29" s="169">
        <v>5817000</v>
      </c>
      <c r="AD29" s="170">
        <v>4645230.4499999993</v>
      </c>
      <c r="AE29" s="171">
        <v>10462230.449999999</v>
      </c>
    </row>
    <row r="30" spans="2:31">
      <c r="B30" s="177">
        <f t="shared" si="6"/>
        <v>2037</v>
      </c>
      <c r="C30" s="156">
        <v>267965274.15953821</v>
      </c>
      <c r="D30" s="157">
        <f t="shared" si="0"/>
        <v>183154264.88804436</v>
      </c>
      <c r="F30" s="5">
        <f t="shared" si="1"/>
        <v>2037</v>
      </c>
      <c r="G30" s="164">
        <v>121670967.66381574</v>
      </c>
      <c r="H30" s="161">
        <f t="shared" si="2"/>
        <v>60835483.831907868</v>
      </c>
      <c r="J30" s="15">
        <f t="shared" si="3"/>
        <v>2037</v>
      </c>
      <c r="K30" s="173">
        <v>10342750</v>
      </c>
      <c r="L30" s="173">
        <v>3311418.75</v>
      </c>
      <c r="N30" s="177">
        <f t="shared" si="4"/>
        <v>2037</v>
      </c>
      <c r="O30" s="169">
        <v>985000</v>
      </c>
      <c r="P30" s="170">
        <v>6008783</v>
      </c>
      <c r="Q30" s="171">
        <f t="shared" si="7"/>
        <v>6993783</v>
      </c>
      <c r="R30" s="169">
        <v>0</v>
      </c>
      <c r="S30" s="171">
        <v>0</v>
      </c>
      <c r="T30" s="169">
        <v>0</v>
      </c>
      <c r="U30" s="170">
        <v>0</v>
      </c>
      <c r="V30" s="170">
        <v>0</v>
      </c>
      <c r="W30" s="171">
        <v>0</v>
      </c>
      <c r="X30" s="169">
        <v>3215000</v>
      </c>
      <c r="Y30" s="170">
        <v>2469750</v>
      </c>
      <c r="Z30" s="171">
        <v>5684750</v>
      </c>
      <c r="AB30" s="177">
        <f t="shared" si="5"/>
        <v>2037</v>
      </c>
      <c r="AC30" s="169">
        <v>6142500</v>
      </c>
      <c r="AD30" s="170">
        <v>4319301.5249999994</v>
      </c>
      <c r="AE30" s="171">
        <v>10461801.524999999</v>
      </c>
    </row>
    <row r="31" spans="2:31">
      <c r="B31" s="177">
        <f t="shared" si="6"/>
        <v>2038</v>
      </c>
      <c r="C31" s="156">
        <v>286271589.82902122</v>
      </c>
      <c r="D31" s="157">
        <f t="shared" si="0"/>
        <v>195666631.64813599</v>
      </c>
      <c r="F31" s="5">
        <f t="shared" si="1"/>
        <v>2038</v>
      </c>
      <c r="G31" s="164">
        <v>126783727.00641413</v>
      </c>
      <c r="H31" s="161">
        <f t="shared" si="2"/>
        <v>63391863.503207065</v>
      </c>
      <c r="J31" s="15">
        <f t="shared" si="3"/>
        <v>2038</v>
      </c>
      <c r="K31" s="173">
        <v>10344500</v>
      </c>
      <c r="L31" s="173">
        <v>3309500</v>
      </c>
      <c r="N31" s="177">
        <f t="shared" si="4"/>
        <v>2038</v>
      </c>
      <c r="O31" s="169">
        <v>1045000</v>
      </c>
      <c r="P31" s="170">
        <v>5950463.75</v>
      </c>
      <c r="Q31" s="171">
        <f t="shared" si="7"/>
        <v>6995463.75</v>
      </c>
      <c r="R31" s="169">
        <v>0</v>
      </c>
      <c r="S31" s="171">
        <v>0</v>
      </c>
      <c r="T31" s="169">
        <v>0</v>
      </c>
      <c r="U31" s="170">
        <v>0</v>
      </c>
      <c r="V31" s="170">
        <v>0</v>
      </c>
      <c r="W31" s="171">
        <v>0</v>
      </c>
      <c r="X31" s="169">
        <v>3415000</v>
      </c>
      <c r="Y31" s="170">
        <v>2270850</v>
      </c>
      <c r="Z31" s="171">
        <v>5685850</v>
      </c>
      <c r="AB31" s="177">
        <f t="shared" si="5"/>
        <v>2038</v>
      </c>
      <c r="AC31" s="169">
        <v>6492500</v>
      </c>
      <c r="AD31" s="170">
        <v>3972111.15</v>
      </c>
      <c r="AE31" s="171">
        <v>10464611.149999999</v>
      </c>
    </row>
    <row r="32" spans="2:31">
      <c r="B32" s="177">
        <f t="shared" si="6"/>
        <v>2039</v>
      </c>
      <c r="C32" s="156">
        <v>305828519.75978059</v>
      </c>
      <c r="D32" s="157">
        <f t="shared" si="0"/>
        <v>209033793.25581002</v>
      </c>
      <c r="F32" s="5">
        <f t="shared" si="1"/>
        <v>2039</v>
      </c>
      <c r="G32" s="164">
        <v>132124428.42980713</v>
      </c>
      <c r="H32" s="161">
        <f t="shared" si="2"/>
        <v>66062214.214903563</v>
      </c>
      <c r="J32" s="15">
        <f t="shared" si="3"/>
        <v>2039</v>
      </c>
      <c r="K32" s="173">
        <v>10342250</v>
      </c>
      <c r="L32" s="173">
        <v>3310756.25</v>
      </c>
      <c r="N32" s="177">
        <f t="shared" si="4"/>
        <v>2039</v>
      </c>
      <c r="O32" s="169">
        <v>1105000</v>
      </c>
      <c r="P32" s="170">
        <v>5888215.25</v>
      </c>
      <c r="Q32" s="171">
        <f t="shared" si="7"/>
        <v>6993215.25</v>
      </c>
      <c r="R32" s="169">
        <v>0</v>
      </c>
      <c r="S32" s="171">
        <v>0</v>
      </c>
      <c r="T32" s="169">
        <v>0</v>
      </c>
      <c r="U32" s="170">
        <v>0</v>
      </c>
      <c r="V32" s="170">
        <v>0</v>
      </c>
      <c r="W32" s="171">
        <v>0</v>
      </c>
      <c r="X32" s="169">
        <v>3625000</v>
      </c>
      <c r="Y32" s="170">
        <v>2059650</v>
      </c>
      <c r="Z32" s="171">
        <v>5684650</v>
      </c>
      <c r="AB32" s="177">
        <f t="shared" si="5"/>
        <v>2039</v>
      </c>
      <c r="AC32" s="169">
        <v>6860000</v>
      </c>
      <c r="AD32" s="170">
        <v>3602210.15</v>
      </c>
      <c r="AE32" s="171">
        <v>10462210.149999999</v>
      </c>
    </row>
    <row r="33" spans="2:31">
      <c r="B33" s="177">
        <f t="shared" si="6"/>
        <v>2040</v>
      </c>
      <c r="C33" s="156">
        <v>326721500.91568971</v>
      </c>
      <c r="D33" s="157">
        <f t="shared" si="0"/>
        <v>223314145.87587392</v>
      </c>
      <c r="F33" s="5">
        <f t="shared" si="1"/>
        <v>2040</v>
      </c>
      <c r="G33" s="164">
        <v>137703810.37375793</v>
      </c>
      <c r="H33" s="161">
        <f t="shared" si="2"/>
        <v>68851905.186878964</v>
      </c>
      <c r="J33" s="15">
        <f t="shared" si="3"/>
        <v>2040</v>
      </c>
      <c r="K33" s="173"/>
      <c r="L33" s="173">
        <v>3309793.75</v>
      </c>
      <c r="N33" s="177">
        <f t="shared" si="4"/>
        <v>2040</v>
      </c>
      <c r="O33" s="169">
        <v>11830000</v>
      </c>
      <c r="P33" s="170">
        <v>5510087.5</v>
      </c>
      <c r="Q33" s="171">
        <f t="shared" si="7"/>
        <v>17340087.5</v>
      </c>
      <c r="R33" s="169">
        <v>0</v>
      </c>
      <c r="S33" s="171">
        <v>0</v>
      </c>
      <c r="T33" s="169">
        <v>0</v>
      </c>
      <c r="U33" s="170">
        <v>0</v>
      </c>
      <c r="V33" s="170">
        <v>0</v>
      </c>
      <c r="W33" s="171">
        <v>0</v>
      </c>
      <c r="X33" s="169">
        <v>3850000</v>
      </c>
      <c r="Y33" s="170">
        <v>1835400</v>
      </c>
      <c r="Z33" s="171">
        <v>5685400</v>
      </c>
      <c r="AB33" s="177">
        <f t="shared" si="5"/>
        <v>2040</v>
      </c>
      <c r="AC33" s="169">
        <v>7255500</v>
      </c>
      <c r="AD33" s="170">
        <v>3208348.15</v>
      </c>
      <c r="AE33" s="171">
        <v>10463848.149999999</v>
      </c>
    </row>
    <row r="34" spans="2:31">
      <c r="B34" s="177">
        <f t="shared" si="6"/>
        <v>2041</v>
      </c>
      <c r="C34" s="156">
        <v>336523145.94316047</v>
      </c>
      <c r="D34" s="157">
        <f t="shared" si="0"/>
        <v>230013570.25215018</v>
      </c>
      <c r="F34" s="5">
        <f t="shared" si="1"/>
        <v>2041</v>
      </c>
      <c r="G34" s="164">
        <v>143533142.61648649</v>
      </c>
      <c r="H34" s="161">
        <f t="shared" si="2"/>
        <v>71766571.308243245</v>
      </c>
      <c r="J34" s="15">
        <f t="shared" si="3"/>
        <v>2041</v>
      </c>
      <c r="K34" s="173"/>
      <c r="L34" s="173">
        <v>3311218.75</v>
      </c>
      <c r="N34" s="177">
        <f t="shared" si="4"/>
        <v>2041</v>
      </c>
      <c r="O34" s="169">
        <v>12540000</v>
      </c>
      <c r="P34" s="170">
        <v>4796638</v>
      </c>
      <c r="Q34" s="171">
        <f t="shared" si="7"/>
        <v>17336638</v>
      </c>
      <c r="R34" s="169">
        <v>0</v>
      </c>
      <c r="S34" s="171">
        <v>0</v>
      </c>
      <c r="T34" s="169">
        <v>0</v>
      </c>
      <c r="U34" s="170">
        <v>0</v>
      </c>
      <c r="V34" s="170">
        <v>0</v>
      </c>
      <c r="W34" s="171">
        <v>0</v>
      </c>
      <c r="X34" s="169">
        <v>4090000</v>
      </c>
      <c r="Y34" s="170">
        <v>1597200</v>
      </c>
      <c r="Z34" s="171">
        <v>5687200</v>
      </c>
      <c r="AB34" s="177">
        <f t="shared" si="5"/>
        <v>2041</v>
      </c>
      <c r="AC34" s="169">
        <v>7671999.9999999991</v>
      </c>
      <c r="AD34" s="170">
        <v>2789994.55</v>
      </c>
      <c r="AE34" s="171">
        <v>10461994.549999999</v>
      </c>
    </row>
    <row r="35" spans="2:31">
      <c r="B35" s="177">
        <f t="shared" si="6"/>
        <v>2042</v>
      </c>
      <c r="C35" s="156">
        <v>346618840.3214553</v>
      </c>
      <c r="D35" s="157">
        <f t="shared" si="0"/>
        <v>236913977.35971469</v>
      </c>
      <c r="F35" s="5">
        <f t="shared" si="1"/>
        <v>2042</v>
      </c>
      <c r="G35" s="164">
        <v>149071668.70031911</v>
      </c>
      <c r="H35" s="161">
        <f t="shared" si="2"/>
        <v>74535834.350159556</v>
      </c>
      <c r="J35" s="15">
        <f t="shared" si="3"/>
        <v>2042</v>
      </c>
      <c r="K35" s="173"/>
      <c r="L35" s="173">
        <v>3309637.5</v>
      </c>
      <c r="N35" s="177">
        <f t="shared" si="4"/>
        <v>2042</v>
      </c>
      <c r="O35" s="169">
        <v>13300000</v>
      </c>
      <c r="P35" s="170">
        <v>4038196</v>
      </c>
      <c r="Q35" s="171">
        <f t="shared" si="7"/>
        <v>17338196</v>
      </c>
      <c r="R35" s="169">
        <v>0</v>
      </c>
      <c r="S35" s="171">
        <v>0</v>
      </c>
      <c r="T35" s="169">
        <v>0</v>
      </c>
      <c r="U35" s="170">
        <v>0</v>
      </c>
      <c r="V35" s="170">
        <v>0</v>
      </c>
      <c r="W35" s="171">
        <v>0</v>
      </c>
      <c r="X35" s="169">
        <v>4345000</v>
      </c>
      <c r="Y35" s="170">
        <v>1344150</v>
      </c>
      <c r="Z35" s="171">
        <v>5689150</v>
      </c>
      <c r="AB35" s="177">
        <f t="shared" si="5"/>
        <v>2042</v>
      </c>
      <c r="AC35" s="169">
        <v>8116499.9999999991</v>
      </c>
      <c r="AD35" s="170">
        <v>2346315.4749999996</v>
      </c>
      <c r="AE35" s="171">
        <v>10462815.475</v>
      </c>
    </row>
    <row r="36" spans="2:31">
      <c r="B36" s="177">
        <f t="shared" si="6"/>
        <v>2043</v>
      </c>
      <c r="C36" s="156">
        <v>357017405.53109896</v>
      </c>
      <c r="D36" s="157">
        <f t="shared" si="0"/>
        <v>244021396.68050614</v>
      </c>
      <c r="F36" s="5">
        <f t="shared" si="1"/>
        <v>2043</v>
      </c>
      <c r="G36" s="164">
        <v>154834159.83620825</v>
      </c>
      <c r="H36" s="161">
        <f t="shared" si="2"/>
        <v>77417079.918104127</v>
      </c>
      <c r="J36" s="15">
        <f t="shared" si="3"/>
        <v>2043</v>
      </c>
      <c r="K36" s="173"/>
      <c r="L36" s="173">
        <v>3309656.25</v>
      </c>
      <c r="N36" s="177">
        <f t="shared" si="4"/>
        <v>2043</v>
      </c>
      <c r="O36" s="169">
        <v>14105000</v>
      </c>
      <c r="P36" s="170">
        <v>3231783.75</v>
      </c>
      <c r="Q36" s="171">
        <f t="shared" si="7"/>
        <v>17336783.75</v>
      </c>
      <c r="R36" s="169">
        <v>0</v>
      </c>
      <c r="S36" s="171">
        <v>0</v>
      </c>
      <c r="T36" s="169">
        <v>0</v>
      </c>
      <c r="U36" s="170">
        <v>0</v>
      </c>
      <c r="V36" s="170">
        <v>0</v>
      </c>
      <c r="W36" s="171">
        <v>0</v>
      </c>
      <c r="X36" s="169">
        <v>4610000</v>
      </c>
      <c r="Y36" s="170">
        <v>1075500</v>
      </c>
      <c r="Z36" s="171">
        <v>5685500</v>
      </c>
      <c r="AB36" s="177">
        <f t="shared" si="5"/>
        <v>2043</v>
      </c>
      <c r="AC36" s="169">
        <v>8589000</v>
      </c>
      <c r="AD36" s="170">
        <v>1875626.2</v>
      </c>
      <c r="AE36" s="171">
        <v>10464626.199999999</v>
      </c>
    </row>
    <row r="37" spans="2:31">
      <c r="B37" s="177">
        <f t="shared" si="6"/>
        <v>2044</v>
      </c>
      <c r="C37" s="156">
        <v>367727927.69703192</v>
      </c>
      <c r="D37" s="157">
        <f t="shared" si="0"/>
        <v>251342038.58092132</v>
      </c>
      <c r="F37" s="5">
        <f t="shared" si="1"/>
        <v>2044</v>
      </c>
      <c r="G37" s="164">
        <v>160830093.9682759</v>
      </c>
      <c r="H37" s="161">
        <f t="shared" si="2"/>
        <v>80415046.984137952</v>
      </c>
      <c r="J37" s="15">
        <f t="shared" si="3"/>
        <v>2044</v>
      </c>
      <c r="K37" s="173"/>
      <c r="L37" s="173">
        <v>3309656.25</v>
      </c>
      <c r="N37" s="177">
        <f t="shared" si="4"/>
        <v>2044</v>
      </c>
      <c r="O37" s="169">
        <v>14965000</v>
      </c>
      <c r="P37" s="170">
        <v>2374924</v>
      </c>
      <c r="Q37" s="171">
        <f t="shared" si="7"/>
        <v>17339924</v>
      </c>
      <c r="R37" s="184"/>
      <c r="S37" s="180"/>
      <c r="X37" s="169">
        <v>4900000</v>
      </c>
      <c r="Y37" s="170">
        <v>790200</v>
      </c>
      <c r="Z37" s="171">
        <v>5690200</v>
      </c>
      <c r="AB37" s="177">
        <f t="shared" si="5"/>
        <v>2044</v>
      </c>
      <c r="AC37" s="169">
        <v>9086000</v>
      </c>
      <c r="AD37" s="170">
        <v>1376736.9</v>
      </c>
      <c r="AE37" s="171">
        <v>10462736.899999999</v>
      </c>
    </row>
    <row r="38" spans="2:31">
      <c r="B38" s="177">
        <f t="shared" si="6"/>
        <v>2045</v>
      </c>
      <c r="C38" s="156">
        <v>367727927.69703192</v>
      </c>
      <c r="D38" s="157">
        <f t="shared" si="0"/>
        <v>251342038.58092132</v>
      </c>
      <c r="F38" s="5">
        <f t="shared" si="1"/>
        <v>2045</v>
      </c>
      <c r="G38" s="155">
        <v>160830093.9682759</v>
      </c>
      <c r="H38" s="165">
        <f t="shared" si="2"/>
        <v>80415046.984137952</v>
      </c>
      <c r="J38" s="15">
        <f t="shared" si="3"/>
        <v>2045</v>
      </c>
      <c r="K38" s="173"/>
      <c r="L38" s="173">
        <v>3309656.25</v>
      </c>
      <c r="N38" s="177">
        <f t="shared" si="4"/>
        <v>2045</v>
      </c>
      <c r="O38" s="169">
        <v>15875000</v>
      </c>
      <c r="P38" s="170">
        <v>1464350.25</v>
      </c>
      <c r="Q38" s="171">
        <f t="shared" si="7"/>
        <v>17339350.25</v>
      </c>
      <c r="R38" s="184"/>
      <c r="S38" s="180"/>
      <c r="X38" s="169">
        <v>5200000</v>
      </c>
      <c r="Y38" s="170">
        <v>487200</v>
      </c>
      <c r="Z38" s="171">
        <v>5687200</v>
      </c>
      <c r="AB38" s="177">
        <f t="shared" si="5"/>
        <v>2045</v>
      </c>
      <c r="AC38" s="169">
        <v>9614500</v>
      </c>
      <c r="AD38" s="170">
        <v>847967.04999999993</v>
      </c>
      <c r="AE38" s="171">
        <v>10462467.049999999</v>
      </c>
    </row>
    <row r="39" spans="2:31">
      <c r="B39" s="177">
        <f t="shared" si="6"/>
        <v>2046</v>
      </c>
      <c r="C39" s="156">
        <v>367727927.69703192</v>
      </c>
      <c r="D39" s="157">
        <f t="shared" si="0"/>
        <v>251342038.58092132</v>
      </c>
      <c r="F39" s="5">
        <f t="shared" si="1"/>
        <v>2046</v>
      </c>
      <c r="G39" s="155">
        <v>160830093.9682759</v>
      </c>
      <c r="H39" s="165">
        <f t="shared" si="2"/>
        <v>80415046.984137952</v>
      </c>
      <c r="J39" s="15">
        <f t="shared" si="3"/>
        <v>2046</v>
      </c>
      <c r="K39" s="173"/>
      <c r="L39" s="173">
        <v>3309656.25</v>
      </c>
      <c r="N39" s="177">
        <f t="shared" si="4"/>
        <v>2046</v>
      </c>
      <c r="O39" s="169">
        <v>16840000</v>
      </c>
      <c r="P39" s="170">
        <v>497622</v>
      </c>
      <c r="Q39" s="171">
        <f t="shared" si="7"/>
        <v>17337622</v>
      </c>
      <c r="R39" s="184"/>
      <c r="S39" s="180"/>
      <c r="X39" s="169">
        <v>5520000</v>
      </c>
      <c r="Y39" s="170">
        <v>165600</v>
      </c>
      <c r="Z39" s="171">
        <v>5685600</v>
      </c>
      <c r="AB39" s="177">
        <f t="shared" si="5"/>
        <v>2046</v>
      </c>
      <c r="AC39" s="169">
        <v>10174500</v>
      </c>
      <c r="AD39" s="170">
        <v>287938.34999999998</v>
      </c>
      <c r="AE39" s="171">
        <v>10462438.35</v>
      </c>
    </row>
    <row r="40" spans="2:31">
      <c r="B40" s="177">
        <f t="shared" si="6"/>
        <v>2047</v>
      </c>
      <c r="C40" s="156">
        <v>367727927.69703192</v>
      </c>
      <c r="D40" s="157">
        <f t="shared" si="0"/>
        <v>251342038.58092132</v>
      </c>
      <c r="F40" s="5">
        <f t="shared" si="1"/>
        <v>2047</v>
      </c>
      <c r="G40" s="164">
        <v>160830093.9682759</v>
      </c>
      <c r="H40" s="160">
        <f t="shared" si="2"/>
        <v>80415046.984137952</v>
      </c>
      <c r="J40" s="15">
        <f t="shared" si="3"/>
        <v>2047</v>
      </c>
      <c r="K40" s="174"/>
      <c r="L40" s="174"/>
      <c r="N40" s="178">
        <f t="shared" si="4"/>
        <v>2047</v>
      </c>
      <c r="O40" s="184"/>
      <c r="P40" s="179"/>
      <c r="Q40" s="180"/>
      <c r="R40" s="179"/>
      <c r="S40" s="179"/>
      <c r="T40" s="184"/>
      <c r="U40" s="179"/>
      <c r="V40" s="179"/>
      <c r="W40" s="180"/>
      <c r="X40" s="186"/>
      <c r="Y40" s="186"/>
      <c r="Z40" s="187"/>
      <c r="AB40" s="178">
        <f t="shared" si="5"/>
        <v>2047</v>
      </c>
      <c r="AC40" s="169">
        <v>0</v>
      </c>
      <c r="AD40" s="170">
        <v>0</v>
      </c>
      <c r="AE40" s="171">
        <v>0</v>
      </c>
    </row>
    <row r="41" spans="2:31">
      <c r="B41" s="177">
        <f t="shared" si="6"/>
        <v>2048</v>
      </c>
      <c r="C41" s="156">
        <v>367727927.69703192</v>
      </c>
      <c r="D41" s="157">
        <f t="shared" si="0"/>
        <v>251342038.58092132</v>
      </c>
      <c r="F41" s="5">
        <f t="shared" si="1"/>
        <v>2048</v>
      </c>
      <c r="G41" s="164">
        <v>160830093.9682759</v>
      </c>
      <c r="H41" s="160">
        <f t="shared" si="2"/>
        <v>80415046.984137952</v>
      </c>
      <c r="J41" s="15">
        <f t="shared" si="3"/>
        <v>2048</v>
      </c>
      <c r="K41" s="174"/>
      <c r="L41" s="174"/>
      <c r="N41" s="178">
        <f t="shared" si="4"/>
        <v>2048</v>
      </c>
      <c r="O41" s="184"/>
      <c r="P41" s="179"/>
      <c r="Q41" s="180"/>
      <c r="R41" s="179"/>
      <c r="S41" s="179"/>
      <c r="T41" s="184"/>
      <c r="U41" s="179"/>
      <c r="V41" s="179"/>
      <c r="W41" s="180"/>
      <c r="X41" s="186"/>
      <c r="Y41" s="186"/>
      <c r="Z41" s="187"/>
      <c r="AB41" s="178">
        <f t="shared" si="5"/>
        <v>2048</v>
      </c>
      <c r="AC41" s="169">
        <v>0</v>
      </c>
      <c r="AD41" s="170">
        <v>0</v>
      </c>
      <c r="AE41" s="171">
        <v>0</v>
      </c>
    </row>
    <row r="42" spans="2:31">
      <c r="B42" s="177">
        <f t="shared" si="6"/>
        <v>2049</v>
      </c>
      <c r="C42" s="156">
        <v>367727927.69703192</v>
      </c>
      <c r="D42" s="157">
        <f t="shared" si="0"/>
        <v>251342038.58092132</v>
      </c>
      <c r="F42" s="5">
        <f t="shared" si="1"/>
        <v>2049</v>
      </c>
      <c r="G42" s="164">
        <v>160830093.9682759</v>
      </c>
      <c r="H42" s="160">
        <f t="shared" si="2"/>
        <v>80415046.984137952</v>
      </c>
      <c r="J42" s="15">
        <f t="shared" si="3"/>
        <v>2049</v>
      </c>
      <c r="K42" s="174"/>
      <c r="L42" s="174"/>
      <c r="N42" s="178">
        <f t="shared" si="4"/>
        <v>2049</v>
      </c>
      <c r="O42" s="184"/>
      <c r="P42" s="179"/>
      <c r="Q42" s="180"/>
      <c r="R42" s="179"/>
      <c r="S42" s="179"/>
      <c r="T42" s="184"/>
      <c r="U42" s="179"/>
      <c r="V42" s="179"/>
      <c r="W42" s="180"/>
      <c r="X42" s="186"/>
      <c r="Y42" s="186"/>
      <c r="Z42" s="187"/>
      <c r="AB42" s="178">
        <f t="shared" si="5"/>
        <v>2049</v>
      </c>
      <c r="AC42" s="169">
        <v>0</v>
      </c>
      <c r="AD42" s="170">
        <v>0</v>
      </c>
      <c r="AE42" s="171">
        <v>0</v>
      </c>
    </row>
    <row r="43" spans="2:31">
      <c r="B43" s="177">
        <f t="shared" si="6"/>
        <v>2050</v>
      </c>
      <c r="C43" s="156">
        <v>367727927.69703192</v>
      </c>
      <c r="D43" s="157">
        <f t="shared" si="0"/>
        <v>251342038.58092132</v>
      </c>
      <c r="F43" s="5">
        <f t="shared" si="1"/>
        <v>2050</v>
      </c>
      <c r="G43" s="164">
        <v>160830093.9682759</v>
      </c>
      <c r="H43" s="160">
        <f t="shared" si="2"/>
        <v>80415046.984137952</v>
      </c>
      <c r="J43" s="15">
        <f t="shared" si="3"/>
        <v>2050</v>
      </c>
      <c r="K43" s="174"/>
      <c r="L43" s="174"/>
      <c r="N43" s="178">
        <f t="shared" si="4"/>
        <v>2050</v>
      </c>
      <c r="O43" s="184"/>
      <c r="P43" s="179"/>
      <c r="Q43" s="180"/>
      <c r="R43" s="179"/>
      <c r="S43" s="179"/>
      <c r="T43" s="184"/>
      <c r="U43" s="179"/>
      <c r="V43" s="179"/>
      <c r="W43" s="180"/>
      <c r="X43" s="186"/>
      <c r="Y43" s="186"/>
      <c r="Z43" s="187"/>
      <c r="AB43" s="178">
        <f t="shared" si="5"/>
        <v>2050</v>
      </c>
      <c r="AC43" s="169">
        <v>0</v>
      </c>
      <c r="AD43" s="170">
        <v>0</v>
      </c>
      <c r="AE43" s="171">
        <v>0</v>
      </c>
    </row>
    <row r="44" spans="2:31">
      <c r="B44" s="177">
        <f t="shared" si="6"/>
        <v>2051</v>
      </c>
      <c r="C44" s="156">
        <v>367727927.69703192</v>
      </c>
      <c r="D44" s="157">
        <f t="shared" si="0"/>
        <v>251342038.58092132</v>
      </c>
      <c r="F44" s="5">
        <f t="shared" si="1"/>
        <v>2051</v>
      </c>
      <c r="G44" s="164">
        <v>160830093.9682759</v>
      </c>
      <c r="H44" s="160">
        <f t="shared" si="2"/>
        <v>80415046.984137952</v>
      </c>
      <c r="J44" s="15">
        <f t="shared" si="3"/>
        <v>2051</v>
      </c>
      <c r="K44" s="174"/>
      <c r="L44" s="174"/>
      <c r="N44" s="178">
        <f t="shared" si="4"/>
        <v>2051</v>
      </c>
      <c r="O44" s="184"/>
      <c r="P44" s="179"/>
      <c r="Q44" s="180"/>
      <c r="R44" s="179"/>
      <c r="S44" s="179"/>
      <c r="T44" s="184"/>
      <c r="U44" s="179"/>
      <c r="V44" s="179"/>
      <c r="W44" s="180"/>
      <c r="X44" s="186"/>
      <c r="Y44" s="186"/>
      <c r="Z44" s="187"/>
      <c r="AB44" s="178">
        <f t="shared" si="5"/>
        <v>2051</v>
      </c>
      <c r="AC44" s="169">
        <v>0</v>
      </c>
      <c r="AD44" s="170">
        <v>0</v>
      </c>
      <c r="AE44" s="171">
        <v>0</v>
      </c>
    </row>
    <row r="45" spans="2:31">
      <c r="B45" s="177">
        <f t="shared" si="6"/>
        <v>2052</v>
      </c>
      <c r="C45" s="156">
        <v>367727927.69703192</v>
      </c>
      <c r="D45" s="157">
        <f t="shared" si="0"/>
        <v>251342038.58092132</v>
      </c>
      <c r="F45" s="5">
        <f t="shared" si="1"/>
        <v>2052</v>
      </c>
      <c r="G45" s="164">
        <v>160830093.9682759</v>
      </c>
      <c r="H45" s="160">
        <f t="shared" si="2"/>
        <v>80415046.984137952</v>
      </c>
      <c r="J45" s="15">
        <f t="shared" si="3"/>
        <v>2052</v>
      </c>
      <c r="K45" s="174"/>
      <c r="L45" s="174"/>
      <c r="N45" s="178">
        <f t="shared" si="4"/>
        <v>2052</v>
      </c>
      <c r="O45" s="184"/>
      <c r="P45" s="179"/>
      <c r="Q45" s="180"/>
      <c r="R45" s="179"/>
      <c r="S45" s="179"/>
      <c r="T45" s="184"/>
      <c r="U45" s="179"/>
      <c r="V45" s="179"/>
      <c r="W45" s="180"/>
      <c r="X45" s="186"/>
      <c r="Y45" s="186"/>
      <c r="Z45" s="187"/>
      <c r="AB45" s="178">
        <f t="shared" si="5"/>
        <v>2052</v>
      </c>
      <c r="AC45" s="169">
        <v>0</v>
      </c>
      <c r="AD45" s="170">
        <v>0</v>
      </c>
      <c r="AE45" s="171">
        <v>0</v>
      </c>
    </row>
    <row r="46" spans="2:31">
      <c r="B46" s="177">
        <f t="shared" si="6"/>
        <v>2053</v>
      </c>
      <c r="C46" s="156">
        <v>367727927.69703192</v>
      </c>
      <c r="D46" s="157">
        <f t="shared" si="0"/>
        <v>251342038.58092132</v>
      </c>
      <c r="F46" s="5">
        <f t="shared" si="1"/>
        <v>2053</v>
      </c>
      <c r="G46" s="164">
        <v>160830093.9682759</v>
      </c>
      <c r="H46" s="160">
        <f t="shared" si="2"/>
        <v>80415046.984137952</v>
      </c>
      <c r="J46" s="15">
        <f t="shared" si="3"/>
        <v>2053</v>
      </c>
      <c r="K46" s="174"/>
      <c r="L46" s="174"/>
      <c r="N46" s="178">
        <f t="shared" si="4"/>
        <v>2053</v>
      </c>
      <c r="O46" s="184"/>
      <c r="P46" s="179"/>
      <c r="Q46" s="180"/>
      <c r="R46" s="179"/>
      <c r="S46" s="179"/>
      <c r="T46" s="184"/>
      <c r="U46" s="179"/>
      <c r="V46" s="179"/>
      <c r="W46" s="180"/>
      <c r="X46" s="186"/>
      <c r="Y46" s="186"/>
      <c r="Z46" s="187"/>
      <c r="AB46" s="178">
        <f t="shared" si="5"/>
        <v>2053</v>
      </c>
      <c r="AC46" s="169">
        <v>0</v>
      </c>
      <c r="AD46" s="170">
        <v>0</v>
      </c>
      <c r="AE46" s="171">
        <v>0</v>
      </c>
    </row>
    <row r="47" spans="2:31">
      <c r="B47" s="177">
        <f t="shared" si="6"/>
        <v>2054</v>
      </c>
      <c r="C47" s="156">
        <v>367727927.69703192</v>
      </c>
      <c r="D47" s="157">
        <f t="shared" si="0"/>
        <v>251342038.58092132</v>
      </c>
      <c r="F47" s="5">
        <f t="shared" si="1"/>
        <v>2054</v>
      </c>
      <c r="G47" s="164">
        <v>160830093.9682759</v>
      </c>
      <c r="H47" s="160">
        <f t="shared" si="2"/>
        <v>80415046.984137952</v>
      </c>
      <c r="J47" s="15">
        <f t="shared" si="3"/>
        <v>2054</v>
      </c>
      <c r="K47" s="174"/>
      <c r="L47" s="174"/>
      <c r="N47" s="178">
        <f t="shared" si="4"/>
        <v>2054</v>
      </c>
      <c r="O47" s="184"/>
      <c r="P47" s="179"/>
      <c r="Q47" s="180"/>
      <c r="R47" s="179"/>
      <c r="S47" s="179"/>
      <c r="T47" s="184"/>
      <c r="U47" s="179"/>
      <c r="V47" s="179"/>
      <c r="W47" s="180"/>
      <c r="X47" s="186"/>
      <c r="Y47" s="186"/>
      <c r="Z47" s="187"/>
      <c r="AB47" s="178">
        <f t="shared" si="5"/>
        <v>2054</v>
      </c>
      <c r="AC47" s="169">
        <v>0</v>
      </c>
      <c r="AD47" s="170">
        <v>0</v>
      </c>
      <c r="AE47" s="171">
        <v>0</v>
      </c>
    </row>
    <row r="48" spans="2:31">
      <c r="B48" s="177">
        <f t="shared" si="6"/>
        <v>2055</v>
      </c>
      <c r="C48" s="156">
        <v>367727927.69703192</v>
      </c>
      <c r="D48" s="157">
        <f t="shared" si="0"/>
        <v>251342038.58092132</v>
      </c>
      <c r="F48" s="5">
        <f t="shared" si="1"/>
        <v>2055</v>
      </c>
      <c r="G48" s="164">
        <v>160830093.9682759</v>
      </c>
      <c r="H48" s="160">
        <f t="shared" si="2"/>
        <v>80415046.984137952</v>
      </c>
      <c r="J48" s="15">
        <f t="shared" si="3"/>
        <v>2055</v>
      </c>
      <c r="K48" s="174"/>
      <c r="L48" s="174"/>
      <c r="N48" s="178">
        <f t="shared" si="4"/>
        <v>2055</v>
      </c>
      <c r="O48" s="184"/>
      <c r="P48" s="179"/>
      <c r="Q48" s="180"/>
      <c r="R48" s="179"/>
      <c r="S48" s="179"/>
      <c r="T48" s="184"/>
      <c r="U48" s="179"/>
      <c r="V48" s="179"/>
      <c r="W48" s="180"/>
      <c r="X48" s="186"/>
      <c r="Y48" s="186"/>
      <c r="Z48" s="187"/>
      <c r="AB48" s="178">
        <f t="shared" si="5"/>
        <v>2055</v>
      </c>
      <c r="AC48" s="169">
        <v>0</v>
      </c>
      <c r="AD48" s="170">
        <v>0</v>
      </c>
      <c r="AE48" s="171">
        <v>0</v>
      </c>
    </row>
    <row r="49" spans="2:31">
      <c r="B49" s="177">
        <f t="shared" si="6"/>
        <v>2056</v>
      </c>
      <c r="C49" s="156">
        <v>367727927.69703192</v>
      </c>
      <c r="D49" s="157">
        <f t="shared" si="0"/>
        <v>251342038.58092132</v>
      </c>
      <c r="F49" s="5">
        <f t="shared" si="1"/>
        <v>2056</v>
      </c>
      <c r="G49" s="164">
        <v>160830093.9682759</v>
      </c>
      <c r="H49" s="160">
        <f t="shared" si="2"/>
        <v>80415046.984137952</v>
      </c>
      <c r="J49" s="15">
        <f t="shared" si="3"/>
        <v>2056</v>
      </c>
      <c r="K49" s="174"/>
      <c r="L49" s="174"/>
      <c r="N49" s="178">
        <f t="shared" si="4"/>
        <v>2056</v>
      </c>
      <c r="O49" s="184"/>
      <c r="P49" s="179"/>
      <c r="Q49" s="180"/>
      <c r="R49" s="179"/>
      <c r="S49" s="179"/>
      <c r="T49" s="184"/>
      <c r="U49" s="179"/>
      <c r="V49" s="179"/>
      <c r="W49" s="180"/>
      <c r="X49" s="186"/>
      <c r="Y49" s="186"/>
      <c r="Z49" s="187"/>
      <c r="AB49" s="178">
        <f t="shared" si="5"/>
        <v>2056</v>
      </c>
      <c r="AC49" s="184"/>
      <c r="AD49" s="179"/>
      <c r="AE49" s="180"/>
    </row>
    <row r="50" spans="2:31">
      <c r="B50" s="177">
        <f t="shared" si="6"/>
        <v>2057</v>
      </c>
      <c r="C50" s="156">
        <v>367727927.69703192</v>
      </c>
      <c r="D50" s="157">
        <f t="shared" si="0"/>
        <v>251342038.58092132</v>
      </c>
      <c r="F50" s="5">
        <f t="shared" si="1"/>
        <v>2057</v>
      </c>
      <c r="G50" s="164">
        <v>160830093.9682759</v>
      </c>
      <c r="H50" s="160">
        <f t="shared" si="2"/>
        <v>80415046.984137952</v>
      </c>
      <c r="J50" s="15">
        <f t="shared" si="3"/>
        <v>2057</v>
      </c>
      <c r="K50" s="174"/>
      <c r="L50" s="174"/>
      <c r="N50" s="178">
        <f t="shared" si="4"/>
        <v>2057</v>
      </c>
      <c r="O50" s="184"/>
      <c r="P50" s="179"/>
      <c r="Q50" s="180"/>
      <c r="R50" s="179"/>
      <c r="S50" s="179"/>
      <c r="T50" s="184"/>
      <c r="U50" s="179"/>
      <c r="V50" s="179"/>
      <c r="W50" s="180"/>
      <c r="X50" s="186"/>
      <c r="Y50" s="186"/>
      <c r="Z50" s="187"/>
      <c r="AB50" s="178">
        <f t="shared" si="5"/>
        <v>2057</v>
      </c>
      <c r="AC50" s="184"/>
      <c r="AD50" s="179"/>
      <c r="AE50" s="180"/>
    </row>
    <row r="51" spans="2:31">
      <c r="B51" s="177">
        <f t="shared" si="6"/>
        <v>2058</v>
      </c>
      <c r="C51" s="156">
        <v>367727927.69703192</v>
      </c>
      <c r="D51" s="157">
        <f t="shared" si="0"/>
        <v>251342038.58092132</v>
      </c>
      <c r="F51" s="5">
        <f t="shared" si="1"/>
        <v>2058</v>
      </c>
      <c r="G51" s="164">
        <v>160830093.9682759</v>
      </c>
      <c r="H51" s="160">
        <f t="shared" si="2"/>
        <v>80415046.984137952</v>
      </c>
      <c r="J51" s="15">
        <f t="shared" si="3"/>
        <v>2058</v>
      </c>
      <c r="K51" s="174"/>
      <c r="L51" s="174"/>
      <c r="N51" s="178">
        <f t="shared" si="4"/>
        <v>2058</v>
      </c>
      <c r="O51" s="184"/>
      <c r="P51" s="179"/>
      <c r="Q51" s="180"/>
      <c r="R51" s="179"/>
      <c r="S51" s="179"/>
      <c r="T51" s="184"/>
      <c r="U51" s="179"/>
      <c r="V51" s="179"/>
      <c r="W51" s="180"/>
      <c r="X51" s="186"/>
      <c r="Y51" s="186"/>
      <c r="Z51" s="187"/>
      <c r="AB51" s="178">
        <f t="shared" si="5"/>
        <v>2058</v>
      </c>
      <c r="AC51" s="184"/>
      <c r="AD51" s="179"/>
      <c r="AE51" s="180"/>
    </row>
    <row r="52" spans="2:31">
      <c r="B52" s="177">
        <f t="shared" si="6"/>
        <v>2059</v>
      </c>
      <c r="C52" s="156">
        <v>367727927.69703192</v>
      </c>
      <c r="D52" s="157">
        <f t="shared" si="0"/>
        <v>251342038.58092132</v>
      </c>
      <c r="F52" s="5">
        <f t="shared" si="1"/>
        <v>2059</v>
      </c>
      <c r="G52" s="164">
        <v>160830093.9682759</v>
      </c>
      <c r="H52" s="160">
        <f t="shared" si="2"/>
        <v>80415046.984137952</v>
      </c>
      <c r="J52" s="15">
        <f t="shared" si="3"/>
        <v>2059</v>
      </c>
      <c r="K52" s="174"/>
      <c r="L52" s="174"/>
      <c r="N52" s="178">
        <f t="shared" si="4"/>
        <v>2059</v>
      </c>
      <c r="O52" s="184"/>
      <c r="P52" s="179"/>
      <c r="Q52" s="180"/>
      <c r="R52" s="179"/>
      <c r="S52" s="179"/>
      <c r="T52" s="184"/>
      <c r="U52" s="179"/>
      <c r="V52" s="179"/>
      <c r="W52" s="180"/>
      <c r="X52" s="179"/>
      <c r="Y52" s="179"/>
      <c r="Z52" s="180"/>
      <c r="AB52" s="178">
        <f t="shared" si="5"/>
        <v>2059</v>
      </c>
      <c r="AC52" s="184"/>
      <c r="AD52" s="179"/>
      <c r="AE52" s="180"/>
    </row>
    <row r="53" spans="2:31">
      <c r="B53" s="177">
        <f t="shared" si="6"/>
        <v>2060</v>
      </c>
      <c r="C53" s="156">
        <v>367727927.69703192</v>
      </c>
      <c r="D53" s="157">
        <f t="shared" si="0"/>
        <v>251342038.58092132</v>
      </c>
      <c r="F53" s="5">
        <f t="shared" si="1"/>
        <v>2060</v>
      </c>
      <c r="G53" s="164">
        <v>160830093.9682759</v>
      </c>
      <c r="H53" s="160">
        <f t="shared" si="2"/>
        <v>80415046.984137952</v>
      </c>
      <c r="J53" s="15">
        <f t="shared" si="3"/>
        <v>2060</v>
      </c>
      <c r="K53" s="174"/>
      <c r="L53" s="174"/>
      <c r="N53" s="178">
        <f t="shared" si="4"/>
        <v>2060</v>
      </c>
      <c r="O53" s="184"/>
      <c r="P53" s="179"/>
      <c r="Q53" s="180"/>
      <c r="R53" s="179"/>
      <c r="S53" s="179"/>
      <c r="T53" s="184"/>
      <c r="U53" s="179"/>
      <c r="V53" s="179"/>
      <c r="W53" s="180"/>
      <c r="X53" s="179"/>
      <c r="Y53" s="179"/>
      <c r="Z53" s="180"/>
      <c r="AB53" s="178">
        <f t="shared" si="5"/>
        <v>2060</v>
      </c>
      <c r="AC53" s="184"/>
      <c r="AD53" s="179"/>
      <c r="AE53" s="180"/>
    </row>
    <row r="54" spans="2:31">
      <c r="B54" s="177">
        <f t="shared" si="6"/>
        <v>2061</v>
      </c>
      <c r="C54" s="156">
        <v>367727927.69703192</v>
      </c>
      <c r="D54" s="157">
        <f t="shared" si="0"/>
        <v>251342038.58092132</v>
      </c>
      <c r="F54" s="5">
        <f t="shared" si="1"/>
        <v>2061</v>
      </c>
      <c r="G54" s="164">
        <v>160830093.9682759</v>
      </c>
      <c r="H54" s="160">
        <f t="shared" si="2"/>
        <v>80415046.984137952</v>
      </c>
      <c r="J54" s="15">
        <f t="shared" si="3"/>
        <v>2061</v>
      </c>
      <c r="K54" s="174"/>
      <c r="L54" s="174"/>
      <c r="N54" s="178">
        <f t="shared" si="4"/>
        <v>2061</v>
      </c>
      <c r="O54" s="184"/>
      <c r="P54" s="179"/>
      <c r="Q54" s="180"/>
      <c r="R54" s="179"/>
      <c r="S54" s="179"/>
      <c r="T54" s="184"/>
      <c r="U54" s="179"/>
      <c r="V54" s="179"/>
      <c r="W54" s="180"/>
      <c r="X54" s="179"/>
      <c r="Y54" s="179"/>
      <c r="Z54" s="180"/>
      <c r="AB54" s="178">
        <f t="shared" si="5"/>
        <v>2061</v>
      </c>
      <c r="AC54" s="184"/>
      <c r="AD54" s="179"/>
      <c r="AE54" s="180"/>
    </row>
    <row r="55" spans="2:31">
      <c r="B55" s="177">
        <f t="shared" si="6"/>
        <v>2062</v>
      </c>
      <c r="C55" s="156">
        <v>367727927.69703192</v>
      </c>
      <c r="D55" s="157">
        <f t="shared" si="0"/>
        <v>251342038.58092132</v>
      </c>
      <c r="F55" s="5">
        <f t="shared" si="1"/>
        <v>2062</v>
      </c>
      <c r="G55" s="164">
        <v>160830093.9682759</v>
      </c>
      <c r="H55" s="160">
        <f t="shared" si="2"/>
        <v>80415046.984137952</v>
      </c>
      <c r="J55" s="15">
        <f t="shared" si="3"/>
        <v>2062</v>
      </c>
      <c r="K55" s="174"/>
      <c r="L55" s="174"/>
      <c r="N55" s="178">
        <f t="shared" si="4"/>
        <v>2062</v>
      </c>
      <c r="O55" s="184"/>
      <c r="P55" s="179"/>
      <c r="Q55" s="180"/>
      <c r="R55" s="179"/>
      <c r="S55" s="179"/>
      <c r="T55" s="184"/>
      <c r="U55" s="179"/>
      <c r="V55" s="179"/>
      <c r="W55" s="180"/>
      <c r="X55" s="179"/>
      <c r="Y55" s="179"/>
      <c r="Z55" s="180"/>
      <c r="AB55" s="178">
        <f t="shared" si="5"/>
        <v>2062</v>
      </c>
      <c r="AC55" s="184"/>
      <c r="AD55" s="179"/>
      <c r="AE55" s="180"/>
    </row>
    <row r="56" spans="2:31">
      <c r="B56" s="177">
        <f t="shared" si="6"/>
        <v>2063</v>
      </c>
      <c r="C56" s="156">
        <v>367727927.69703192</v>
      </c>
      <c r="D56" s="157">
        <f t="shared" si="0"/>
        <v>251342038.58092132</v>
      </c>
      <c r="F56" s="5">
        <f t="shared" si="1"/>
        <v>2063</v>
      </c>
      <c r="G56" s="164">
        <v>160830093.9682759</v>
      </c>
      <c r="H56" s="160">
        <f t="shared" si="2"/>
        <v>80415046.984137952</v>
      </c>
      <c r="J56" s="15">
        <f t="shared" si="3"/>
        <v>2063</v>
      </c>
      <c r="K56" s="174"/>
      <c r="L56" s="174"/>
      <c r="N56" s="178">
        <f t="shared" si="4"/>
        <v>2063</v>
      </c>
      <c r="O56" s="184"/>
      <c r="P56" s="179"/>
      <c r="Q56" s="180"/>
      <c r="R56" s="179"/>
      <c r="S56" s="179"/>
      <c r="T56" s="184"/>
      <c r="U56" s="179"/>
      <c r="V56" s="179"/>
      <c r="W56" s="180"/>
      <c r="X56" s="179"/>
      <c r="Y56" s="179"/>
      <c r="Z56" s="180"/>
      <c r="AB56" s="178">
        <f t="shared" si="5"/>
        <v>2063</v>
      </c>
      <c r="AC56" s="184"/>
      <c r="AD56" s="179"/>
      <c r="AE56" s="180"/>
    </row>
    <row r="57" spans="2:31">
      <c r="B57" s="177">
        <f t="shared" si="6"/>
        <v>2064</v>
      </c>
      <c r="C57" s="156">
        <v>367727927.69703192</v>
      </c>
      <c r="D57" s="157">
        <f t="shared" si="0"/>
        <v>251342038.58092132</v>
      </c>
      <c r="F57" s="5">
        <f t="shared" si="1"/>
        <v>2064</v>
      </c>
      <c r="G57" s="164">
        <v>160830093.9682759</v>
      </c>
      <c r="H57" s="160">
        <f t="shared" si="2"/>
        <v>80415046.984137952</v>
      </c>
      <c r="J57" s="15">
        <f t="shared" si="3"/>
        <v>2064</v>
      </c>
      <c r="K57" s="174"/>
      <c r="L57" s="174"/>
      <c r="N57" s="178">
        <f t="shared" si="4"/>
        <v>2064</v>
      </c>
      <c r="O57" s="184"/>
      <c r="P57" s="179"/>
      <c r="Q57" s="180"/>
      <c r="R57" s="179"/>
      <c r="S57" s="179"/>
      <c r="T57" s="184"/>
      <c r="U57" s="179"/>
      <c r="V57" s="179"/>
      <c r="W57" s="180"/>
      <c r="X57" s="179"/>
      <c r="Y57" s="179"/>
      <c r="Z57" s="180"/>
      <c r="AB57" s="178">
        <f t="shared" si="5"/>
        <v>2064</v>
      </c>
      <c r="AC57" s="184"/>
      <c r="AD57" s="179"/>
      <c r="AE57" s="180"/>
    </row>
    <row r="58" spans="2:31">
      <c r="B58" s="177">
        <f t="shared" si="6"/>
        <v>2065</v>
      </c>
      <c r="C58" s="156">
        <v>367727927.69703192</v>
      </c>
      <c r="D58" s="157">
        <f t="shared" si="0"/>
        <v>251342038.58092132</v>
      </c>
      <c r="F58" s="5">
        <f t="shared" si="1"/>
        <v>2065</v>
      </c>
      <c r="G58" s="164">
        <v>160830093.9682759</v>
      </c>
      <c r="H58" s="160">
        <f t="shared" si="2"/>
        <v>80415046.984137952</v>
      </c>
      <c r="J58" s="15">
        <f t="shared" si="3"/>
        <v>2065</v>
      </c>
      <c r="K58" s="174"/>
      <c r="L58" s="174"/>
      <c r="N58" s="178">
        <f t="shared" si="4"/>
        <v>2065</v>
      </c>
      <c r="O58" s="184"/>
      <c r="P58" s="179"/>
      <c r="Q58" s="180"/>
      <c r="R58" s="179"/>
      <c r="S58" s="179"/>
      <c r="T58" s="184"/>
      <c r="U58" s="179"/>
      <c r="V58" s="179"/>
      <c r="W58" s="180"/>
      <c r="X58" s="179"/>
      <c r="Y58" s="179"/>
      <c r="Z58" s="180"/>
      <c r="AB58" s="178">
        <f t="shared" si="5"/>
        <v>2065</v>
      </c>
      <c r="AC58" s="184"/>
      <c r="AD58" s="179"/>
      <c r="AE58" s="180"/>
    </row>
    <row r="59" spans="2:31">
      <c r="B59" s="191">
        <f t="shared" si="6"/>
        <v>2066</v>
      </c>
      <c r="C59" s="158">
        <v>367727927.69703192</v>
      </c>
      <c r="D59" s="159">
        <f t="shared" si="0"/>
        <v>251342038.58092132</v>
      </c>
      <c r="F59" s="4">
        <f t="shared" si="1"/>
        <v>2066</v>
      </c>
      <c r="G59" s="166">
        <v>160830093.9682759</v>
      </c>
      <c r="H59" s="167">
        <f t="shared" si="2"/>
        <v>80415046.984137952</v>
      </c>
      <c r="J59" s="17">
        <f t="shared" si="3"/>
        <v>2066</v>
      </c>
      <c r="K59" s="175"/>
      <c r="L59" s="175"/>
      <c r="N59" s="181">
        <f t="shared" si="4"/>
        <v>2066</v>
      </c>
      <c r="O59" s="185"/>
      <c r="P59" s="182"/>
      <c r="Q59" s="183"/>
      <c r="R59" s="182"/>
      <c r="S59" s="182"/>
      <c r="T59" s="185"/>
      <c r="U59" s="182"/>
      <c r="V59" s="182"/>
      <c r="W59" s="183"/>
      <c r="X59" s="182"/>
      <c r="Y59" s="182"/>
      <c r="Z59" s="183"/>
      <c r="AB59" s="181">
        <f t="shared" si="5"/>
        <v>2066</v>
      </c>
      <c r="AC59" s="185"/>
      <c r="AD59" s="182"/>
      <c r="AE59" s="183"/>
    </row>
    <row r="60" spans="2:31">
      <c r="N60" s="9" t="s">
        <v>5</v>
      </c>
      <c r="O60" s="189">
        <f t="shared" ref="O60:Z60" si="8">SUM(O8:O59)</f>
        <v>111985000</v>
      </c>
      <c r="P60" s="189">
        <f t="shared" si="8"/>
        <v>173994018.75</v>
      </c>
      <c r="Q60" s="189">
        <f t="shared" si="8"/>
        <v>285979018.75</v>
      </c>
      <c r="R60" s="189">
        <f t="shared" si="8"/>
        <v>31063986.300000001</v>
      </c>
      <c r="S60" s="189">
        <f t="shared" si="8"/>
        <v>50530000</v>
      </c>
      <c r="T60" s="189">
        <f t="shared" si="8"/>
        <v>27845010.449999999</v>
      </c>
      <c r="U60" s="189">
        <f t="shared" si="8"/>
        <v>47845000</v>
      </c>
      <c r="V60" s="189">
        <f t="shared" si="8"/>
        <v>22615607.75</v>
      </c>
      <c r="W60" s="189">
        <f t="shared" si="8"/>
        <v>70460607.75</v>
      </c>
      <c r="X60" s="189">
        <f t="shared" si="8"/>
        <v>56180000</v>
      </c>
      <c r="Y60" s="189">
        <f t="shared" si="8"/>
        <v>80640300</v>
      </c>
      <c r="Z60" s="189">
        <f t="shared" si="8"/>
        <v>136820300</v>
      </c>
      <c r="AA60" s="9"/>
      <c r="AB60" s="9" t="s">
        <v>5</v>
      </c>
      <c r="AC60" s="189">
        <f>SUM(AC8:AC59)</f>
        <v>139569500</v>
      </c>
      <c r="AD60" s="189">
        <f>SUM(AD8:AD59)</f>
        <v>163822813.34999999</v>
      </c>
      <c r="AE60" s="189">
        <f>SUM(AE8:AE59)</f>
        <v>303392313.35000002</v>
      </c>
    </row>
    <row r="61" spans="2:31">
      <c r="N61" s="9"/>
      <c r="O61" s="189"/>
      <c r="P61" s="189"/>
      <c r="Q61" s="189"/>
      <c r="R61" s="189"/>
      <c r="S61" s="189"/>
      <c r="T61" s="189"/>
      <c r="U61" s="189"/>
      <c r="V61" s="189"/>
      <c r="W61" s="189"/>
      <c r="X61" s="189"/>
      <c r="Y61" s="189"/>
      <c r="Z61" s="189"/>
      <c r="AA61" s="9"/>
      <c r="AB61" s="9"/>
      <c r="AC61" s="189"/>
      <c r="AD61" s="189"/>
      <c r="AE61" s="189"/>
    </row>
    <row r="62" spans="2:31">
      <c r="N62" s="9" t="s">
        <v>60</v>
      </c>
      <c r="O62" s="189"/>
      <c r="P62" s="189"/>
      <c r="Q62" s="189"/>
      <c r="R62" s="189"/>
      <c r="S62" s="189"/>
      <c r="T62" s="189"/>
      <c r="U62" s="189"/>
      <c r="V62" s="189"/>
      <c r="W62" s="189"/>
      <c r="X62" s="189"/>
      <c r="Y62" s="189"/>
      <c r="Z62" s="189"/>
      <c r="AA62" s="9"/>
      <c r="AB62" s="9"/>
      <c r="AC62" s="189"/>
      <c r="AD62" s="189"/>
      <c r="AE62" s="189"/>
    </row>
    <row r="63" spans="2:31">
      <c r="N63" s="269" t="s">
        <v>146</v>
      </c>
      <c r="O63" s="269"/>
      <c r="P63" s="269"/>
      <c r="Q63" s="269"/>
      <c r="R63" s="269"/>
      <c r="S63" s="269"/>
      <c r="T63" s="269"/>
      <c r="U63" s="269"/>
      <c r="V63" s="269"/>
      <c r="W63" s="269"/>
      <c r="X63" s="269"/>
      <c r="Y63" s="269"/>
      <c r="Z63" s="269"/>
      <c r="AA63" s="269"/>
      <c r="AB63" s="269"/>
      <c r="AC63" s="269"/>
      <c r="AD63" s="269"/>
      <c r="AE63" s="269"/>
    </row>
    <row r="64" spans="2:31">
      <c r="N64" s="205" t="s">
        <v>102</v>
      </c>
      <c r="O64" s="189"/>
      <c r="P64" s="189"/>
      <c r="Q64" s="189"/>
      <c r="R64" s="189"/>
      <c r="S64" s="189"/>
      <c r="T64" s="189"/>
      <c r="U64" s="189"/>
      <c r="V64" s="189"/>
      <c r="W64" s="189"/>
      <c r="X64" s="189"/>
      <c r="Y64" s="189"/>
      <c r="Z64" s="189"/>
      <c r="AA64" s="9"/>
      <c r="AB64" s="9"/>
      <c r="AC64" s="189"/>
      <c r="AD64" s="189"/>
      <c r="AE64" s="189"/>
    </row>
    <row r="65"/>
    <row r="66"/>
    <row r="67"/>
    <row r="68"/>
    <row r="69"/>
    <row r="70"/>
  </sheetData>
  <mergeCells count="16">
    <mergeCell ref="N3:AE3"/>
    <mergeCell ref="N63:AE63"/>
    <mergeCell ref="B6:D6"/>
    <mergeCell ref="F6:H6"/>
    <mergeCell ref="J6:L6"/>
    <mergeCell ref="B4:H4"/>
    <mergeCell ref="J4:L4"/>
    <mergeCell ref="N5:N7"/>
    <mergeCell ref="X6:Z6"/>
    <mergeCell ref="AC6:AE6"/>
    <mergeCell ref="AB6:AB7"/>
    <mergeCell ref="O6:Q6"/>
    <mergeCell ref="R6:S6"/>
    <mergeCell ref="T6:W6"/>
    <mergeCell ref="O5:W5"/>
    <mergeCell ref="X5:Z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8" tint="0.59999389629810485"/>
    <pageSetUpPr autoPageBreaks="0" fitToPage="1"/>
  </sheetPr>
  <dimension ref="A1:CL58"/>
  <sheetViews>
    <sheetView tabSelected="1" zoomScaleNormal="100" workbookViewId="0">
      <selection activeCell="B1" sqref="B1"/>
    </sheetView>
  </sheetViews>
  <sheetFormatPr defaultColWidth="0" defaultRowHeight="13.2" zeroHeight="1"/>
  <cols>
    <col min="1" max="3" width="9.375" style="1" customWidth="1"/>
    <col min="4" max="4" width="76" style="1" customWidth="1"/>
    <col min="5" max="6" width="21.375" style="1" customWidth="1"/>
    <col min="7" max="7" width="11.875" style="1" customWidth="1"/>
    <col min="8" max="8" width="9.625" style="1" customWidth="1"/>
    <col min="9" max="87" width="21.375" style="1" hidden="1" customWidth="1"/>
    <col min="88" max="88" width="16.125" style="1" hidden="1" customWidth="1"/>
    <col min="89" max="90" width="14" style="1" hidden="1" customWidth="1"/>
    <col min="91" max="16384" width="9.375" style="1" hidden="1"/>
  </cols>
  <sheetData>
    <row r="1" spans="4:88" ht="14.1" customHeight="1"/>
    <row r="2" spans="4:88" ht="14.1" customHeight="1"/>
    <row r="3" spans="4:88" ht="14.1" customHeight="1"/>
    <row r="4" spans="4:88" ht="14.1" customHeight="1">
      <c r="D4" s="91" t="s">
        <v>108</v>
      </c>
    </row>
    <row r="5" spans="4:88" ht="14.1" customHeight="1">
      <c r="D5" s="91"/>
    </row>
    <row r="6" spans="4:88" ht="14.1" customHeight="1">
      <c r="D6" s="133" t="s">
        <v>109</v>
      </c>
    </row>
    <row r="7" spans="4:88" ht="14.1" customHeight="1">
      <c r="D7" s="1" t="s">
        <v>71</v>
      </c>
      <c r="E7" s="150" t="s">
        <v>149</v>
      </c>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row>
    <row r="8" spans="4:88" ht="14.1" customHeight="1">
      <c r="D8" s="1" t="s">
        <v>72</v>
      </c>
      <c r="E8" s="150" t="s">
        <v>73</v>
      </c>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c r="CH8" s="150"/>
      <c r="CI8" s="150"/>
      <c r="CJ8" s="150"/>
    </row>
    <row r="9" spans="4:88" ht="7.5" customHeight="1"/>
    <row r="10" spans="4:88" ht="14.1" customHeight="1">
      <c r="D10" s="133" t="s">
        <v>78</v>
      </c>
    </row>
    <row r="11" spans="4:88" ht="14.1" customHeight="1">
      <c r="D11" s="1" t="s">
        <v>118</v>
      </c>
      <c r="E11" s="153">
        <v>0</v>
      </c>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row>
    <row r="12" spans="4:88" ht="14.1" customHeight="1">
      <c r="D12" s="1" t="s">
        <v>119</v>
      </c>
      <c r="E12" s="200">
        <v>0.35</v>
      </c>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row>
    <row r="13" spans="4:88" ht="14.1" customHeight="1">
      <c r="D13" s="1" t="s">
        <v>44</v>
      </c>
      <c r="E13" s="206">
        <v>50</v>
      </c>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6"/>
      <c r="AM13" s="206"/>
      <c r="AN13" s="206"/>
      <c r="AO13" s="206"/>
      <c r="AP13" s="206"/>
      <c r="AQ13" s="206"/>
      <c r="AR13" s="206"/>
      <c r="AS13" s="206"/>
      <c r="AT13" s="206"/>
      <c r="AU13" s="206"/>
      <c r="AV13" s="206"/>
      <c r="AW13" s="206"/>
      <c r="AX13" s="206"/>
      <c r="AY13" s="206"/>
      <c r="AZ13" s="206"/>
      <c r="BA13" s="206"/>
      <c r="BB13" s="206"/>
      <c r="BC13" s="206"/>
      <c r="BD13" s="206"/>
      <c r="BE13" s="206"/>
      <c r="BF13" s="206"/>
      <c r="BG13" s="206"/>
      <c r="BH13" s="206"/>
      <c r="BI13" s="206"/>
      <c r="BJ13" s="206"/>
      <c r="BK13" s="206"/>
      <c r="BL13" s="206"/>
      <c r="BM13" s="206"/>
      <c r="BN13" s="206"/>
      <c r="BO13" s="206"/>
      <c r="BP13" s="206"/>
      <c r="BQ13" s="206"/>
      <c r="BR13" s="206"/>
      <c r="BS13" s="206"/>
      <c r="BT13" s="206"/>
      <c r="BU13" s="206"/>
      <c r="BV13" s="206"/>
      <c r="BW13" s="206"/>
      <c r="BX13" s="206"/>
      <c r="BY13" s="206"/>
      <c r="BZ13" s="206"/>
      <c r="CA13" s="206"/>
      <c r="CB13" s="206"/>
      <c r="CC13" s="206"/>
      <c r="CD13" s="206"/>
      <c r="CE13" s="206"/>
      <c r="CF13" s="206"/>
      <c r="CG13" s="206"/>
      <c r="CH13" s="206"/>
      <c r="CI13" s="154"/>
      <c r="CJ13" s="154"/>
    </row>
    <row r="14" spans="4:88" ht="14.1" customHeight="1">
      <c r="D14" s="1" t="s">
        <v>15</v>
      </c>
      <c r="E14" s="206">
        <v>30</v>
      </c>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6"/>
      <c r="AM14" s="206"/>
      <c r="AN14" s="206"/>
      <c r="AO14" s="206"/>
      <c r="AP14" s="206"/>
      <c r="AQ14" s="206"/>
      <c r="AR14" s="206"/>
      <c r="AS14" s="206"/>
      <c r="AT14" s="206"/>
      <c r="AU14" s="206"/>
      <c r="AV14" s="206"/>
      <c r="AW14" s="206"/>
      <c r="AX14" s="206"/>
      <c r="AY14" s="206"/>
      <c r="AZ14" s="206"/>
      <c r="BA14" s="206"/>
      <c r="BB14" s="206"/>
      <c r="BC14" s="206"/>
      <c r="BD14" s="206"/>
      <c r="BE14" s="206"/>
      <c r="BF14" s="206"/>
      <c r="BG14" s="206"/>
      <c r="BH14" s="206"/>
      <c r="BI14" s="206"/>
      <c r="BJ14" s="206"/>
      <c r="BK14" s="206"/>
      <c r="BL14" s="206"/>
      <c r="BM14" s="206"/>
      <c r="BN14" s="206"/>
      <c r="BO14" s="206"/>
      <c r="BP14" s="206"/>
      <c r="BQ14" s="206"/>
      <c r="BR14" s="206"/>
      <c r="BS14" s="206"/>
      <c r="BT14" s="206"/>
      <c r="BU14" s="206"/>
      <c r="BV14" s="206"/>
      <c r="BW14" s="206"/>
      <c r="BX14" s="206"/>
      <c r="BY14" s="206"/>
      <c r="BZ14" s="206"/>
      <c r="CA14" s="206"/>
      <c r="CB14" s="206"/>
      <c r="CC14" s="206"/>
      <c r="CD14" s="206"/>
      <c r="CE14" s="206"/>
      <c r="CF14" s="206"/>
      <c r="CG14" s="206"/>
      <c r="CH14" s="206"/>
      <c r="CI14" s="154"/>
      <c r="CJ14" s="154"/>
    </row>
    <row r="15" spans="4:88" ht="14.1" customHeight="1">
      <c r="D15" s="1" t="s">
        <v>79</v>
      </c>
      <c r="E15" s="200">
        <v>0.14000000000000001</v>
      </c>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c r="AT15" s="200"/>
      <c r="AU15" s="200"/>
      <c r="AV15" s="200"/>
      <c r="AW15" s="200"/>
      <c r="AX15" s="200"/>
      <c r="AY15" s="200"/>
      <c r="AZ15" s="200"/>
      <c r="BA15" s="200"/>
      <c r="BB15" s="200"/>
      <c r="BC15" s="200"/>
      <c r="BD15" s="200"/>
      <c r="BE15" s="200"/>
      <c r="BF15" s="200"/>
      <c r="BG15" s="200"/>
      <c r="BH15" s="200"/>
      <c r="BI15" s="200"/>
      <c r="BJ15" s="200"/>
      <c r="BK15" s="200"/>
      <c r="BL15" s="200"/>
      <c r="BM15" s="200"/>
      <c r="BN15" s="200"/>
      <c r="BO15" s="200"/>
      <c r="BP15" s="200"/>
      <c r="BQ15" s="200"/>
      <c r="BR15" s="200"/>
      <c r="BS15" s="200"/>
      <c r="BT15" s="200"/>
      <c r="BU15" s="200"/>
      <c r="BV15" s="200"/>
      <c r="BW15" s="200"/>
      <c r="BX15" s="200"/>
      <c r="BY15" s="200"/>
      <c r="BZ15" s="200"/>
      <c r="CA15" s="200"/>
      <c r="CB15" s="200"/>
      <c r="CC15" s="200"/>
      <c r="CD15" s="200"/>
      <c r="CE15" s="200"/>
      <c r="CF15" s="200"/>
      <c r="CG15" s="200"/>
      <c r="CH15" s="200"/>
      <c r="CI15" s="153"/>
      <c r="CJ15" s="153"/>
    </row>
    <row r="16" spans="4:88" ht="14.1" customHeight="1">
      <c r="D16" s="1" t="s">
        <v>133</v>
      </c>
      <c r="E16" s="152">
        <v>10000000</v>
      </c>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3"/>
      <c r="CJ16" s="153"/>
    </row>
    <row r="17" spans="4:89" ht="14.1" customHeight="1">
      <c r="D17" s="1" t="s">
        <v>134</v>
      </c>
      <c r="E17" s="200">
        <v>0.19</v>
      </c>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200"/>
      <c r="BM17" s="200"/>
      <c r="BN17" s="200"/>
      <c r="BO17" s="200"/>
      <c r="BP17" s="200"/>
      <c r="BQ17" s="200"/>
      <c r="BR17" s="200"/>
      <c r="BS17" s="200"/>
      <c r="BT17" s="200"/>
      <c r="BU17" s="200"/>
      <c r="BV17" s="200"/>
      <c r="BW17" s="200"/>
      <c r="BX17" s="200"/>
      <c r="BY17" s="200"/>
      <c r="BZ17" s="200"/>
      <c r="CA17" s="200"/>
      <c r="CB17" s="200"/>
      <c r="CC17" s="200"/>
      <c r="CD17" s="200"/>
      <c r="CE17" s="200"/>
      <c r="CF17" s="200"/>
      <c r="CG17" s="200"/>
      <c r="CH17" s="200"/>
      <c r="CI17" s="153"/>
      <c r="CJ17" s="153"/>
    </row>
    <row r="18" spans="4:89" ht="14.1" customHeight="1">
      <c r="D18" s="1" t="s">
        <v>135</v>
      </c>
      <c r="E18" s="200">
        <v>0.05</v>
      </c>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c r="CG18" s="200"/>
      <c r="CH18" s="200"/>
      <c r="CI18" s="153"/>
      <c r="CJ18" s="153"/>
    </row>
    <row r="19" spans="4:89" ht="7.5" customHeight="1"/>
    <row r="20" spans="4:89" ht="14.1" customHeight="1">
      <c r="D20" s="133" t="s">
        <v>74</v>
      </c>
    </row>
    <row r="21" spans="4:89" ht="14.1" customHeight="1">
      <c r="D21" s="1" t="s">
        <v>110</v>
      </c>
      <c r="E21" s="151" t="s">
        <v>148</v>
      </c>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row>
    <row r="22" spans="4:89" ht="14.1" customHeight="1">
      <c r="D22" s="1" t="s">
        <v>75</v>
      </c>
      <c r="E22" s="152">
        <v>405000000</v>
      </c>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row>
    <row r="23" spans="4:89" ht="14.1" customHeight="1">
      <c r="D23" s="1" t="s">
        <v>76</v>
      </c>
      <c r="E23" s="168">
        <v>42186</v>
      </c>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row>
    <row r="24" spans="4:89" ht="14.1" customHeight="1">
      <c r="D24" s="1" t="s">
        <v>77</v>
      </c>
      <c r="E24" s="168">
        <v>43282</v>
      </c>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row>
    <row r="25" spans="4:89" ht="7.5" customHeight="1"/>
    <row r="26" spans="4:89" ht="14.1" customHeight="1">
      <c r="D26" s="133" t="s">
        <v>111</v>
      </c>
    </row>
    <row r="27" spans="4:89" ht="14.1" customHeight="1">
      <c r="D27" s="1" t="str">
        <f>TEXT(E7,"General")&amp;" Funds on Hand"</f>
        <v>AAPA Port Authority Funds on Hand</v>
      </c>
      <c r="E27" s="152">
        <v>71500000</v>
      </c>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218"/>
      <c r="CJ27" s="218"/>
      <c r="CK27" s="218"/>
    </row>
    <row r="28" spans="4:89" ht="14.1" customHeight="1">
      <c r="D28" s="1" t="s">
        <v>115</v>
      </c>
      <c r="E28" s="152">
        <v>78000000</v>
      </c>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218"/>
      <c r="CJ28" s="218"/>
      <c r="CK28" s="218"/>
    </row>
    <row r="29" spans="4:89" ht="14.1" customHeight="1">
      <c r="D29" s="1" t="str">
        <f>TEXT(E7,"General")&amp;" Debt"</f>
        <v>AAPA Port Authority Debt</v>
      </c>
      <c r="E29" s="1" t="s">
        <v>103</v>
      </c>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218"/>
      <c r="CJ29" s="218"/>
      <c r="CK29" s="218"/>
    </row>
    <row r="30" spans="4:89" ht="14.1" customHeight="1">
      <c r="D30" s="1" t="s">
        <v>132</v>
      </c>
      <c r="E30" s="1" t="s">
        <v>104</v>
      </c>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218"/>
      <c r="CJ30" s="218"/>
      <c r="CK30" s="218"/>
    </row>
    <row r="31" spans="4:89" ht="14.1" customHeight="1">
      <c r="D31" s="1" t="s">
        <v>120</v>
      </c>
      <c r="E31" s="152">
        <v>10000000</v>
      </c>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218"/>
      <c r="CJ31" s="218"/>
      <c r="CK31" s="218"/>
    </row>
    <row r="32" spans="4:89" ht="14.1" customHeight="1">
      <c r="D32" s="1" t="s">
        <v>95</v>
      </c>
      <c r="E32" s="224">
        <f>EDATE(E24, 12)</f>
        <v>43647</v>
      </c>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218"/>
      <c r="CJ32" s="218"/>
      <c r="CK32" s="218"/>
    </row>
    <row r="33" spans="4:89" ht="14.1" customHeight="1">
      <c r="D33" s="1" t="s">
        <v>96</v>
      </c>
      <c r="E33" s="224">
        <f>E24</f>
        <v>43282</v>
      </c>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8"/>
      <c r="AO33" s="168"/>
      <c r="AP33" s="168"/>
      <c r="AQ33" s="168"/>
      <c r="AR33" s="168"/>
      <c r="AS33" s="168"/>
      <c r="AT33" s="168"/>
      <c r="AU33" s="168"/>
      <c r="AV33" s="168"/>
      <c r="AW33" s="168"/>
      <c r="AX33" s="168"/>
      <c r="AY33" s="168"/>
      <c r="AZ33" s="168"/>
      <c r="BA33" s="168"/>
      <c r="BB33" s="168"/>
      <c r="BC33" s="168"/>
      <c r="BD33" s="168"/>
      <c r="BE33" s="168"/>
      <c r="BF33" s="168"/>
      <c r="BG33" s="168"/>
      <c r="BH33" s="168"/>
      <c r="BI33" s="168"/>
      <c r="BJ33" s="168"/>
      <c r="BK33" s="168"/>
      <c r="BL33" s="168"/>
      <c r="BM33" s="168"/>
      <c r="BN33" s="168"/>
      <c r="BO33" s="168"/>
      <c r="BP33" s="168"/>
      <c r="BQ33" s="168"/>
      <c r="BR33" s="168"/>
      <c r="BS33" s="168"/>
      <c r="BT33" s="168"/>
      <c r="BU33" s="168"/>
      <c r="BV33" s="168"/>
      <c r="BW33" s="168"/>
      <c r="BX33" s="168"/>
      <c r="BY33" s="168"/>
      <c r="BZ33" s="168"/>
      <c r="CA33" s="168"/>
      <c r="CB33" s="168"/>
      <c r="CC33" s="168"/>
      <c r="CD33" s="168"/>
      <c r="CE33" s="168"/>
      <c r="CF33" s="168"/>
      <c r="CG33" s="168"/>
      <c r="CH33" s="168"/>
      <c r="CI33" s="218"/>
      <c r="CJ33" s="218"/>
      <c r="CK33" s="218"/>
    </row>
    <row r="34" spans="4:89" ht="14.1" customHeight="1">
      <c r="D34" s="1" t="str">
        <f>TEXT(E7,"General")&amp;" New Senior Lien Debt Capitalized Interest"</f>
        <v>AAPA Port Authority New Senior Lien Debt Capitalized Interest</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8"/>
      <c r="AU34" s="168"/>
      <c r="AV34" s="168"/>
      <c r="AW34" s="168"/>
      <c r="AX34" s="168"/>
      <c r="AY34" s="168"/>
      <c r="AZ34" s="168"/>
      <c r="BA34" s="168"/>
      <c r="BB34" s="168"/>
      <c r="BC34" s="168"/>
      <c r="BD34" s="168"/>
      <c r="BE34" s="168"/>
      <c r="BF34" s="168"/>
      <c r="BG34" s="168"/>
      <c r="BH34" s="168"/>
      <c r="BI34" s="168"/>
      <c r="BJ34" s="168"/>
      <c r="BK34" s="168"/>
      <c r="BL34" s="168"/>
      <c r="BM34" s="168"/>
      <c r="BN34" s="168"/>
      <c r="BO34" s="168"/>
      <c r="BP34" s="168"/>
      <c r="BQ34" s="168"/>
      <c r="BR34" s="168"/>
      <c r="BS34" s="168"/>
      <c r="BT34" s="168"/>
      <c r="BU34" s="168"/>
      <c r="BV34" s="168"/>
      <c r="BW34" s="168"/>
      <c r="BX34" s="168"/>
      <c r="BY34" s="168"/>
      <c r="BZ34" s="168"/>
      <c r="CA34" s="168"/>
      <c r="CB34" s="168"/>
      <c r="CC34" s="168"/>
      <c r="CD34" s="168"/>
      <c r="CE34" s="168"/>
      <c r="CF34" s="168"/>
      <c r="CG34" s="168"/>
      <c r="CH34" s="168"/>
      <c r="CI34" s="219">
        <v>1</v>
      </c>
      <c r="CJ34" s="218">
        <v>1</v>
      </c>
      <c r="CK34" s="218"/>
    </row>
    <row r="35" spans="4:89" ht="14.1" customHeight="1">
      <c r="D35" s="1" t="str">
        <f>TEXT(E7,"General")&amp;" New Subordinate Lien Debt Capitalized Interest"</f>
        <v>AAPA Port Authority New Subordinate Lien Debt Capitalized Interest</v>
      </c>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219">
        <v>0</v>
      </c>
      <c r="CJ35" s="218">
        <v>1</v>
      </c>
      <c r="CK35" s="218"/>
    </row>
    <row r="36" spans="4:89" ht="14.1" customHeight="1">
      <c r="D36" s="1" t="s">
        <v>121</v>
      </c>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c r="BA36" s="168"/>
      <c r="BB36" s="168"/>
      <c r="BC36" s="168"/>
      <c r="BD36" s="168"/>
      <c r="BE36" s="168"/>
      <c r="BF36" s="168"/>
      <c r="BG36" s="168"/>
      <c r="BH36" s="168"/>
      <c r="BI36" s="168"/>
      <c r="BJ36" s="168"/>
      <c r="BK36" s="168"/>
      <c r="BL36" s="168"/>
      <c r="BM36" s="168"/>
      <c r="BN36" s="168"/>
      <c r="BO36" s="168"/>
      <c r="BP36" s="168"/>
      <c r="BQ36" s="168"/>
      <c r="BR36" s="168"/>
      <c r="BS36" s="168"/>
      <c r="BT36" s="168"/>
      <c r="BU36" s="168"/>
      <c r="BV36" s="168"/>
      <c r="BW36" s="168"/>
      <c r="BX36" s="168"/>
      <c r="BY36" s="168"/>
      <c r="BZ36" s="168"/>
      <c r="CA36" s="168"/>
      <c r="CB36" s="168"/>
      <c r="CC36" s="168"/>
      <c r="CD36" s="168"/>
      <c r="CE36" s="168"/>
      <c r="CF36" s="168"/>
      <c r="CG36" s="168"/>
      <c r="CH36" s="168"/>
      <c r="CI36" s="218"/>
      <c r="CJ36" s="218">
        <v>1</v>
      </c>
      <c r="CK36" s="218"/>
    </row>
    <row r="37" spans="4:89" ht="14.1" customHeight="1">
      <c r="D37" s="1" t="s">
        <v>93</v>
      </c>
      <c r="E37" s="1" t="s">
        <v>100</v>
      </c>
      <c r="CI37" s="218"/>
      <c r="CJ37" s="218"/>
      <c r="CK37" s="218"/>
    </row>
    <row r="38" spans="4:89" ht="14.1" customHeight="1">
      <c r="D38" s="1" t="s">
        <v>94</v>
      </c>
      <c r="E38" s="201">
        <v>6</v>
      </c>
      <c r="CI38" s="218"/>
      <c r="CJ38" s="218"/>
      <c r="CK38" s="218"/>
    </row>
    <row r="39" spans="4:89" ht="14.1" customHeight="1">
      <c r="CI39" s="218"/>
      <c r="CJ39" s="218"/>
      <c r="CK39" s="218"/>
    </row>
    <row r="40" spans="4:89" ht="14.1" customHeight="1"/>
    <row r="41" spans="4:89" ht="14.1" customHeight="1"/>
    <row r="42" spans="4:89" ht="14.1" customHeight="1"/>
    <row r="43" spans="4:89" ht="14.1" customHeight="1"/>
    <row r="44" spans="4:89" hidden="1"/>
    <row r="45" spans="4:89" hidden="1"/>
    <row r="46" spans="4:89" hidden="1"/>
    <row r="47" spans="4:89" hidden="1"/>
    <row r="48" spans="4:89" hidden="1"/>
    <row r="49" hidden="1"/>
    <row r="50" hidden="1"/>
    <row r="51" hidden="1"/>
    <row r="52" hidden="1"/>
    <row r="53"/>
    <row r="54"/>
    <row r="55"/>
    <row r="56"/>
    <row r="57"/>
    <row r="58"/>
  </sheetData>
  <printOptions horizontalCentered="1"/>
  <pageMargins left="0.7" right="0.7" top="0.75" bottom="0.75" header="0.3" footer="0.3"/>
  <pageSetup orientation="landscape" r:id="rId1"/>
  <headerFooter scaleWithDoc="0">
    <oddFooter xml:space="preserve">&amp;L&amp;"Arial,Regular"&amp;7Port Concession Evaluation Model&amp;R&amp;"Arial,Regular"&amp;7Copyright Public Financial Management, Inc.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8" r:id="rId4" name="Drop Down 4">
              <controlPr defaultSize="0" autoLine="0" autoPict="0">
                <anchor moveWithCells="1">
                  <from>
                    <xdr:col>4</xdr:col>
                    <xdr:colOff>22860</xdr:colOff>
                    <xdr:row>33</xdr:row>
                    <xdr:rowOff>22860</xdr:rowOff>
                  </from>
                  <to>
                    <xdr:col>4</xdr:col>
                    <xdr:colOff>571500</xdr:colOff>
                    <xdr:row>34</xdr:row>
                    <xdr:rowOff>0</xdr:rowOff>
                  </to>
                </anchor>
              </controlPr>
            </control>
          </mc:Choice>
        </mc:AlternateContent>
        <mc:AlternateContent xmlns:mc="http://schemas.openxmlformats.org/markup-compatibility/2006">
          <mc:Choice Requires="x14">
            <control shapeId="6149" r:id="rId5" name="Drop Down 5">
              <controlPr defaultSize="0" autoLine="0" autoPict="0">
                <anchor moveWithCells="1">
                  <from>
                    <xdr:col>4</xdr:col>
                    <xdr:colOff>22860</xdr:colOff>
                    <xdr:row>34</xdr:row>
                    <xdr:rowOff>0</xdr:rowOff>
                  </from>
                  <to>
                    <xdr:col>4</xdr:col>
                    <xdr:colOff>571500</xdr:colOff>
                    <xdr:row>34</xdr:row>
                    <xdr:rowOff>152400</xdr:rowOff>
                  </to>
                </anchor>
              </controlPr>
            </control>
          </mc:Choice>
        </mc:AlternateContent>
        <mc:AlternateContent xmlns:mc="http://schemas.openxmlformats.org/markup-compatibility/2006">
          <mc:Choice Requires="x14">
            <control shapeId="6150" r:id="rId6" name="Drop Down 6">
              <controlPr defaultSize="0" autoLine="0" autoPict="0">
                <anchor moveWithCells="1">
                  <from>
                    <xdr:col>4</xdr:col>
                    <xdr:colOff>22860</xdr:colOff>
                    <xdr:row>34</xdr:row>
                    <xdr:rowOff>152400</xdr:rowOff>
                  </from>
                  <to>
                    <xdr:col>4</xdr:col>
                    <xdr:colOff>571500</xdr:colOff>
                    <xdr:row>35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8" tint="0.59999389629810485"/>
    <pageSetUpPr autoPageBreaks="0" fitToPage="1"/>
  </sheetPr>
  <dimension ref="A1:M70"/>
  <sheetViews>
    <sheetView tabSelected="1" zoomScaleNormal="100" workbookViewId="0">
      <selection activeCell="B1" sqref="B1"/>
    </sheetView>
  </sheetViews>
  <sheetFormatPr defaultColWidth="0" defaultRowHeight="13.2" zeroHeight="1"/>
  <cols>
    <col min="1" max="2" width="9.375" style="1" customWidth="1"/>
    <col min="3" max="3" width="43.625" style="1" customWidth="1"/>
    <col min="4" max="4" width="21.125" style="2" customWidth="1"/>
    <col min="5" max="5" width="21.875" style="2" customWidth="1"/>
    <col min="6" max="6" width="24" style="130" customWidth="1"/>
    <col min="7" max="7" width="24.625" style="2" customWidth="1"/>
    <col min="8" max="8" width="16.125" style="2" customWidth="1"/>
    <col min="9" max="9" width="18.125" style="130" customWidth="1"/>
    <col min="10" max="10" width="18.625" style="1" customWidth="1"/>
    <col min="11" max="11" width="20.125" style="1" customWidth="1"/>
    <col min="12" max="12" width="14" style="1" hidden="1" customWidth="1"/>
    <col min="13" max="13" width="0" style="1" hidden="1" customWidth="1"/>
    <col min="14" max="16384" width="9.375" style="1" hidden="1"/>
  </cols>
  <sheetData>
    <row r="1" spans="3:13"/>
    <row r="2" spans="3:13"/>
    <row r="3" spans="3:13"/>
    <row r="4" spans="3:13" ht="13.8">
      <c r="C4" s="91" t="s">
        <v>45</v>
      </c>
    </row>
    <row r="5" spans="3:13">
      <c r="K5" s="204"/>
      <c r="L5" s="204"/>
      <c r="M5" s="204"/>
    </row>
    <row r="6" spans="3:13">
      <c r="C6" s="232" t="str">
        <f>'I. Assumptions'!E21</f>
        <v>New Terminal</v>
      </c>
      <c r="D6" s="233"/>
      <c r="E6" s="233"/>
      <c r="F6" s="233"/>
      <c r="G6" s="233"/>
      <c r="H6" s="233"/>
      <c r="I6" s="234"/>
      <c r="K6" s="207"/>
      <c r="L6" s="208"/>
      <c r="M6" s="204"/>
    </row>
    <row r="7" spans="3:13" ht="12.75" customHeight="1">
      <c r="C7" s="80"/>
      <c r="D7" s="235" t="str">
        <f>'I. Assumptions'!D27</f>
        <v>AAPA Port Authority Funds on Hand</v>
      </c>
      <c r="E7" s="235" t="str">
        <f>TEXT('I. Assumptions'!E7, "General")&amp;" Senior Lien Bonds (TE)"</f>
        <v>AAPA Port Authority Senior Lien Bonds (TE)</v>
      </c>
      <c r="F7" s="235" t="str">
        <f>TEXT('I. Assumptions'!E7, "General")&amp;" Subordinate Lien Bonds (TE)"</f>
        <v>AAPA Port Authority Subordinate Lien Bonds (TE)</v>
      </c>
      <c r="G7" s="235" t="s">
        <v>122</v>
      </c>
      <c r="H7" s="81"/>
      <c r="I7" s="82"/>
      <c r="K7" s="204"/>
      <c r="L7" s="125"/>
      <c r="M7" s="204"/>
    </row>
    <row r="8" spans="3:13">
      <c r="C8" s="80"/>
      <c r="D8" s="235"/>
      <c r="E8" s="235"/>
      <c r="F8" s="235"/>
      <c r="G8" s="235"/>
      <c r="H8" s="81" t="s">
        <v>16</v>
      </c>
      <c r="I8" s="82" t="s">
        <v>5</v>
      </c>
      <c r="K8" s="204"/>
      <c r="L8" s="204"/>
      <c r="M8" s="204"/>
    </row>
    <row r="9" spans="3:13" s="79" customFormat="1" ht="13.5" customHeight="1">
      <c r="C9" s="80"/>
      <c r="D9" s="235"/>
      <c r="E9" s="235"/>
      <c r="F9" s="235"/>
      <c r="G9" s="235"/>
      <c r="H9" s="57"/>
      <c r="I9" s="55"/>
      <c r="K9" s="208"/>
      <c r="L9" s="208"/>
      <c r="M9" s="208"/>
    </row>
    <row r="10" spans="3:13">
      <c r="C10" s="148" t="s">
        <v>39</v>
      </c>
      <c r="D10" s="149"/>
      <c r="E10" s="149"/>
      <c r="F10" s="149"/>
      <c r="G10" s="149"/>
      <c r="H10" s="149"/>
      <c r="I10" s="144"/>
      <c r="K10" s="204"/>
      <c r="L10" s="204"/>
      <c r="M10" s="204"/>
    </row>
    <row r="11" spans="3:13">
      <c r="C11" s="80" t="s">
        <v>1</v>
      </c>
      <c r="D11" s="196"/>
      <c r="E11" s="196">
        <f>'VI. Debt Cvrg - Public Entity'!D49</f>
        <v>111985000</v>
      </c>
      <c r="F11" s="196">
        <f>'VI. Debt Cvrg - Public Entity'!Q49</f>
        <v>56180000</v>
      </c>
      <c r="G11" s="196">
        <f>'V. Debt Cvrg - Concessionaire'!D58</f>
        <v>139569500</v>
      </c>
      <c r="H11" s="196"/>
      <c r="I11" s="197">
        <f t="shared" ref="I11:I13" si="0">SUM(D11:H11)</f>
        <v>307734500</v>
      </c>
      <c r="K11" s="204"/>
      <c r="L11" s="204"/>
      <c r="M11" s="204"/>
    </row>
    <row r="12" spans="3:13">
      <c r="C12" s="80" t="s">
        <v>62</v>
      </c>
      <c r="D12" s="196"/>
      <c r="E12" s="196">
        <f>'VI. Debt Cvrg - Public Entity'!H49</f>
        <v>31063986.300000001</v>
      </c>
      <c r="F12" s="196"/>
      <c r="G12" s="196"/>
      <c r="H12" s="196"/>
      <c r="I12" s="197">
        <f t="shared" si="0"/>
        <v>31063986.300000001</v>
      </c>
      <c r="K12" s="204"/>
      <c r="L12" s="204"/>
      <c r="M12" s="204"/>
    </row>
    <row r="13" spans="3:13">
      <c r="C13" s="80" t="s">
        <v>68</v>
      </c>
      <c r="D13" s="196"/>
      <c r="E13" s="196">
        <f>'VI. Debt Cvrg - Public Entity'!J49</f>
        <v>27845010.449999999</v>
      </c>
      <c r="F13" s="196"/>
      <c r="G13" s="196"/>
      <c r="H13" s="196"/>
      <c r="I13" s="197">
        <f t="shared" si="0"/>
        <v>27845010.449999999</v>
      </c>
      <c r="K13" s="204"/>
      <c r="L13" s="125"/>
      <c r="M13" s="204"/>
    </row>
    <row r="14" spans="3:13">
      <c r="C14" s="83" t="s">
        <v>34</v>
      </c>
      <c r="D14" s="196"/>
      <c r="E14" s="196">
        <f>SUM(E11:E13)</f>
        <v>170893996.75</v>
      </c>
      <c r="F14" s="196">
        <f t="shared" ref="F14:G14" si="1">SUM(F11:F13)</f>
        <v>56180000</v>
      </c>
      <c r="G14" s="196">
        <f t="shared" si="1"/>
        <v>139569500</v>
      </c>
      <c r="H14" s="196"/>
      <c r="I14" s="197">
        <f>SUM(D14:H14)</f>
        <v>366643496.75</v>
      </c>
      <c r="K14" s="204"/>
      <c r="L14" s="125"/>
      <c r="M14" s="204"/>
    </row>
    <row r="15" spans="3:13">
      <c r="C15" s="80"/>
      <c r="D15" s="196"/>
      <c r="E15" s="196"/>
      <c r="F15" s="196"/>
      <c r="G15" s="196"/>
      <c r="H15" s="196"/>
      <c r="I15" s="197">
        <f>SUM(D15:H15)</f>
        <v>0</v>
      </c>
      <c r="K15" s="204"/>
      <c r="L15" s="209"/>
      <c r="M15" s="204"/>
    </row>
    <row r="16" spans="3:13">
      <c r="C16" s="80" t="s">
        <v>116</v>
      </c>
      <c r="D16" s="196">
        <f>'I. Assumptions'!E27</f>
        <v>71500000</v>
      </c>
      <c r="E16" s="196"/>
      <c r="F16" s="196"/>
      <c r="G16" s="196"/>
      <c r="H16" s="196">
        <f>'I. Assumptions'!E28</f>
        <v>78000000</v>
      </c>
      <c r="I16" s="197">
        <f>SUM(D16:H16)</f>
        <v>149500000</v>
      </c>
      <c r="K16" s="204"/>
      <c r="L16" s="125"/>
      <c r="M16" s="204"/>
    </row>
    <row r="17" spans="3:13">
      <c r="C17" s="80"/>
      <c r="D17" s="196"/>
      <c r="E17" s="196"/>
      <c r="F17" s="196"/>
      <c r="G17" s="196"/>
      <c r="H17" s="196"/>
      <c r="I17" s="197">
        <f>SUM(D17:H17)</f>
        <v>0</v>
      </c>
      <c r="K17" s="204"/>
      <c r="L17" s="125"/>
      <c r="M17" s="204"/>
    </row>
    <row r="18" spans="3:13">
      <c r="C18" s="84" t="s">
        <v>35</v>
      </c>
      <c r="D18" s="198">
        <f t="shared" ref="D18" si="2">SUM(D14:D16)</f>
        <v>71500000</v>
      </c>
      <c r="E18" s="198">
        <f>SUM(E14:E16)</f>
        <v>170893996.75</v>
      </c>
      <c r="F18" s="198">
        <f t="shared" ref="F18:G18" si="3">SUM(F14:F16)</f>
        <v>56180000</v>
      </c>
      <c r="G18" s="198">
        <f t="shared" si="3"/>
        <v>139569500</v>
      </c>
      <c r="H18" s="198">
        <f t="shared" ref="H18" si="4">SUM(H14:H16)</f>
        <v>78000000</v>
      </c>
      <c r="I18" s="199">
        <f>SUM(D18:H18)</f>
        <v>516143496.75</v>
      </c>
      <c r="K18" s="204"/>
      <c r="L18" s="210"/>
      <c r="M18" s="204"/>
    </row>
    <row r="19" spans="3:13">
      <c r="C19" s="80"/>
      <c r="D19" s="196"/>
      <c r="E19" s="196"/>
      <c r="F19" s="196"/>
      <c r="G19" s="196"/>
      <c r="H19" s="196"/>
      <c r="I19" s="197"/>
      <c r="K19" s="204"/>
      <c r="L19" s="211"/>
      <c r="M19" s="204"/>
    </row>
    <row r="20" spans="3:13">
      <c r="C20" s="148" t="s">
        <v>36</v>
      </c>
      <c r="D20" s="139"/>
      <c r="E20" s="149"/>
      <c r="F20" s="149"/>
      <c r="G20" s="149"/>
      <c r="H20" s="149"/>
      <c r="I20" s="144"/>
      <c r="K20" s="204"/>
      <c r="L20" s="204"/>
      <c r="M20" s="212"/>
    </row>
    <row r="21" spans="3:13">
      <c r="C21" s="80" t="s">
        <v>80</v>
      </c>
      <c r="D21" s="73">
        <f t="shared" ref="D21" si="5">D18-SUM(D23:D27)</f>
        <v>71500000</v>
      </c>
      <c r="E21" s="73">
        <f>I21-D21-F21-G21-H21</f>
        <v>126429439.05000001</v>
      </c>
      <c r="F21" s="73">
        <f t="shared" ref="F21:H21" si="6">F18-SUM(F23:F27)</f>
        <v>36741720</v>
      </c>
      <c r="G21" s="73">
        <f t="shared" si="6"/>
        <v>102328840.95</v>
      </c>
      <c r="H21" s="73">
        <f t="shared" si="6"/>
        <v>68000000</v>
      </c>
      <c r="I21" s="74">
        <f>'I. Assumptions'!E22</f>
        <v>405000000</v>
      </c>
      <c r="K21" s="204"/>
      <c r="L21" s="209"/>
      <c r="M21" s="212"/>
    </row>
    <row r="22" spans="3:13">
      <c r="C22" s="80"/>
      <c r="D22" s="124"/>
      <c r="E22" s="73"/>
      <c r="F22" s="73"/>
      <c r="G22" s="73"/>
      <c r="H22" s="73"/>
      <c r="I22" s="74"/>
      <c r="K22" s="204"/>
      <c r="L22" s="125"/>
      <c r="M22" s="212"/>
    </row>
    <row r="23" spans="3:13">
      <c r="C23" s="80" t="s">
        <v>2</v>
      </c>
      <c r="D23" s="124"/>
      <c r="E23" s="73">
        <f>E14*0.1</f>
        <v>17089399.675000001</v>
      </c>
      <c r="F23" s="73">
        <f t="shared" ref="F23:G23" si="7">F14*0.1</f>
        <v>5618000</v>
      </c>
      <c r="G23" s="73">
        <f t="shared" si="7"/>
        <v>13956950</v>
      </c>
      <c r="H23" s="73"/>
      <c r="I23" s="74">
        <f>SUM(E23:H23)</f>
        <v>36664349.674999997</v>
      </c>
      <c r="K23" s="204"/>
      <c r="L23" s="125"/>
      <c r="M23" s="204"/>
    </row>
    <row r="24" spans="3:13">
      <c r="C24" s="80" t="s">
        <v>3</v>
      </c>
      <c r="D24" s="124"/>
      <c r="E24" s="73">
        <f>-'VI. Debt Cvrg - Public Entity'!F49</f>
        <v>26119174</v>
      </c>
      <c r="F24" s="73">
        <f>-'VI. Debt Cvrg - Public Entity'!S49</f>
        <v>13483200</v>
      </c>
      <c r="G24" s="73">
        <f>-'V. Debt Cvrg - Concessionaire'!G58</f>
        <v>22446292.049999997</v>
      </c>
      <c r="H24" s="73">
        <f>SUM(L22:L24)</f>
        <v>0</v>
      </c>
      <c r="I24" s="74">
        <f>SUM(E24:H24)</f>
        <v>62048666.049999997</v>
      </c>
      <c r="K24" s="204"/>
      <c r="L24" s="125"/>
      <c r="M24" s="204"/>
    </row>
    <row r="25" spans="3:13">
      <c r="C25" s="80"/>
      <c r="D25" s="124"/>
      <c r="E25" s="73"/>
      <c r="F25" s="73"/>
      <c r="G25" s="73"/>
      <c r="H25" s="73"/>
      <c r="I25" s="74"/>
      <c r="K25" s="204"/>
      <c r="L25" s="204"/>
      <c r="M25" s="204"/>
    </row>
    <row r="26" spans="3:13">
      <c r="C26" s="80" t="s">
        <v>37</v>
      </c>
      <c r="D26" s="124"/>
      <c r="E26" s="73">
        <f>E14*'I. Assumptions'!$E$38/1000</f>
        <v>1025363.9804999999</v>
      </c>
      <c r="F26" s="73">
        <f>F14*'I. Assumptions'!$E$38/1000</f>
        <v>337080</v>
      </c>
      <c r="G26" s="73">
        <f>G14*'I. Assumptions'!$E$38/1000</f>
        <v>837417</v>
      </c>
      <c r="H26" s="73"/>
      <c r="I26" s="74">
        <f>SUM(E26:H26)</f>
        <v>2199860.9805000001</v>
      </c>
      <c r="K26" s="213"/>
      <c r="L26" s="214"/>
      <c r="M26" s="204"/>
    </row>
    <row r="27" spans="3:13">
      <c r="C27" s="80" t="s">
        <v>120</v>
      </c>
      <c r="D27" s="124"/>
      <c r="E27" s="73"/>
      <c r="F27" s="73"/>
      <c r="G27" s="73"/>
      <c r="H27" s="73">
        <f>'I. Assumptions'!E31</f>
        <v>10000000</v>
      </c>
      <c r="I27" s="74">
        <f>SUM(E27:H27)</f>
        <v>10000000</v>
      </c>
      <c r="K27" s="213"/>
      <c r="L27" s="204"/>
      <c r="M27" s="204"/>
    </row>
    <row r="28" spans="3:13">
      <c r="C28" s="80"/>
      <c r="D28" s="124"/>
      <c r="E28" s="57"/>
      <c r="F28" s="57"/>
      <c r="G28" s="57"/>
      <c r="H28" s="73"/>
      <c r="I28" s="74"/>
      <c r="K28" s="204"/>
      <c r="L28" s="212"/>
      <c r="M28" s="204"/>
    </row>
    <row r="29" spans="3:13">
      <c r="C29" s="80" t="s">
        <v>61</v>
      </c>
      <c r="D29" s="124"/>
      <c r="E29" s="73">
        <f>E18-SUM(E21:E26)</f>
        <v>230620.04449996352</v>
      </c>
      <c r="F29" s="73"/>
      <c r="G29" s="73"/>
      <c r="H29" s="73"/>
      <c r="I29" s="74">
        <f>SUM(E29:H29)</f>
        <v>230620.04449996352</v>
      </c>
      <c r="K29" s="204"/>
      <c r="L29" s="212"/>
      <c r="M29" s="204"/>
    </row>
    <row r="30" spans="3:13">
      <c r="C30" s="80"/>
      <c r="D30" s="124"/>
      <c r="E30" s="73"/>
      <c r="F30" s="73"/>
      <c r="G30" s="73"/>
      <c r="H30" s="73"/>
      <c r="I30" s="74"/>
      <c r="K30" s="204"/>
      <c r="L30" s="215"/>
      <c r="M30" s="204"/>
    </row>
    <row r="31" spans="3:13">
      <c r="C31" s="85" t="s">
        <v>38</v>
      </c>
      <c r="D31" s="140">
        <f>SUM(D21:D29)</f>
        <v>71500000</v>
      </c>
      <c r="E31" s="86">
        <f t="shared" ref="E31:H31" si="8">SUM(E21:E29)</f>
        <v>170893996.75</v>
      </c>
      <c r="F31" s="86">
        <f t="shared" si="8"/>
        <v>56180000</v>
      </c>
      <c r="G31" s="86">
        <f t="shared" si="8"/>
        <v>139569500</v>
      </c>
      <c r="H31" s="86">
        <f t="shared" si="8"/>
        <v>78000000</v>
      </c>
      <c r="I31" s="87">
        <f>I18</f>
        <v>516143496.75</v>
      </c>
      <c r="K31" s="204"/>
      <c r="L31" s="216"/>
      <c r="M31" s="204"/>
    </row>
    <row r="32" spans="3:13">
      <c r="K32" s="204"/>
      <c r="L32" s="214"/>
      <c r="M32" s="204"/>
    </row>
    <row r="33" spans="2:13">
      <c r="K33" s="213"/>
      <c r="L33" s="204"/>
      <c r="M33" s="204"/>
    </row>
    <row r="34" spans="2:13">
      <c r="K34" s="204"/>
      <c r="L34" s="204"/>
      <c r="M34" s="204"/>
    </row>
    <row r="35" spans="2:13">
      <c r="K35" s="204"/>
      <c r="L35" s="204"/>
      <c r="M35" s="204"/>
    </row>
    <row r="36" spans="2:13">
      <c r="K36" s="204"/>
      <c r="L36" s="204"/>
      <c r="M36" s="204"/>
    </row>
    <row r="37" spans="2:13">
      <c r="K37" s="204"/>
      <c r="L37" s="204"/>
      <c r="M37" s="204"/>
    </row>
    <row r="38" spans="2:13" hidden="1">
      <c r="D38" s="130"/>
      <c r="E38" s="130"/>
      <c r="G38" s="130"/>
      <c r="H38" s="130"/>
      <c r="K38" s="204"/>
      <c r="L38" s="204"/>
      <c r="M38" s="204"/>
    </row>
    <row r="39" spans="2:13" hidden="1">
      <c r="B39" s="142"/>
      <c r="C39" s="142"/>
      <c r="D39" s="142"/>
      <c r="E39" s="142"/>
      <c r="F39" s="142"/>
      <c r="G39" s="130"/>
      <c r="H39" s="130"/>
      <c r="K39" s="213"/>
      <c r="L39" s="214"/>
      <c r="M39" s="204"/>
    </row>
    <row r="40" spans="2:13" hidden="1">
      <c r="B40" s="142"/>
      <c r="C40" s="142"/>
      <c r="D40" s="142"/>
      <c r="E40" s="142"/>
      <c r="F40" s="142"/>
      <c r="K40" s="204"/>
      <c r="L40" s="212"/>
      <c r="M40" s="204"/>
    </row>
    <row r="41" spans="2:13" hidden="1">
      <c r="B41" s="142"/>
      <c r="C41" s="142"/>
      <c r="D41" s="142"/>
      <c r="E41" s="142"/>
      <c r="F41" s="142"/>
      <c r="K41" s="204"/>
      <c r="L41" s="212"/>
      <c r="M41" s="204"/>
    </row>
    <row r="42" spans="2:13" hidden="1">
      <c r="B42" s="142"/>
      <c r="C42" s="142"/>
      <c r="D42" s="142"/>
      <c r="E42" s="142"/>
      <c r="F42" s="142"/>
      <c r="K42" s="204"/>
      <c r="L42" s="215"/>
      <c r="M42" s="204"/>
    </row>
    <row r="43" spans="2:13" hidden="1">
      <c r="B43" s="142"/>
      <c r="C43" s="142"/>
      <c r="D43" s="142"/>
      <c r="E43" s="142"/>
      <c r="F43" s="142"/>
      <c r="K43" s="204"/>
      <c r="L43" s="216"/>
      <c r="M43" s="204"/>
    </row>
    <row r="44" spans="2:13" hidden="1">
      <c r="B44" s="142"/>
      <c r="C44" s="142"/>
      <c r="D44" s="142"/>
      <c r="E44" s="142"/>
      <c r="F44" s="142"/>
      <c r="K44" s="204"/>
      <c r="L44" s="214"/>
      <c r="M44" s="204"/>
    </row>
    <row r="45" spans="2:13" hidden="1">
      <c r="B45" s="142"/>
      <c r="C45" s="142"/>
      <c r="D45" s="142"/>
      <c r="E45" s="142"/>
      <c r="F45" s="142"/>
      <c r="K45" s="213"/>
      <c r="L45" s="214"/>
      <c r="M45" s="204"/>
    </row>
    <row r="46" spans="2:13" hidden="1">
      <c r="B46" s="142"/>
      <c r="C46" s="142"/>
      <c r="D46" s="142"/>
      <c r="E46" s="142"/>
      <c r="F46" s="142"/>
      <c r="K46" s="204"/>
      <c r="L46" s="212"/>
      <c r="M46" s="204"/>
    </row>
    <row r="47" spans="2:13" hidden="1">
      <c r="B47" s="142"/>
      <c r="C47" s="142"/>
      <c r="D47" s="142"/>
      <c r="E47" s="142"/>
      <c r="F47" s="142"/>
      <c r="K47" s="204"/>
      <c r="L47" s="212"/>
      <c r="M47" s="204"/>
    </row>
    <row r="48" spans="2:13" hidden="1">
      <c r="B48" s="142"/>
      <c r="C48" s="142"/>
      <c r="D48" s="142"/>
      <c r="E48" s="142"/>
      <c r="F48" s="142"/>
      <c r="K48" s="204"/>
      <c r="L48" s="215"/>
      <c r="M48" s="204"/>
    </row>
    <row r="49" spans="2:13" ht="12.9" hidden="1" customHeight="1">
      <c r="B49" s="142"/>
      <c r="C49" s="142"/>
      <c r="D49" s="142"/>
      <c r="E49" s="142"/>
      <c r="F49" s="142"/>
      <c r="K49" s="204"/>
      <c r="L49" s="216"/>
      <c r="M49" s="204"/>
    </row>
    <row r="50" spans="2:13" ht="12.9" hidden="1" customHeight="1">
      <c r="B50" s="142"/>
      <c r="C50" s="142"/>
      <c r="D50" s="142"/>
      <c r="E50" s="142"/>
      <c r="F50" s="142"/>
      <c r="G50" s="130"/>
      <c r="H50" s="130"/>
      <c r="K50" s="204"/>
      <c r="L50" s="216"/>
      <c r="M50" s="204"/>
    </row>
    <row r="51" spans="2:13" ht="12.9" hidden="1" customHeight="1">
      <c r="B51" s="142"/>
      <c r="C51" s="142"/>
      <c r="D51" s="142"/>
      <c r="E51" s="142"/>
      <c r="F51" s="142"/>
      <c r="G51" s="130"/>
      <c r="H51" s="130"/>
      <c r="K51" s="204"/>
      <c r="L51" s="216"/>
      <c r="M51" s="204"/>
    </row>
    <row r="52" spans="2:13" ht="12.9" hidden="1" customHeight="1">
      <c r="B52" s="142"/>
      <c r="C52" s="142"/>
      <c r="D52" s="142"/>
      <c r="E52" s="142"/>
      <c r="F52" s="142"/>
      <c r="G52" s="130"/>
      <c r="H52" s="130"/>
      <c r="K52" s="204"/>
      <c r="L52" s="216"/>
      <c r="M52" s="204"/>
    </row>
    <row r="53" spans="2:13" ht="12.9" hidden="1" customHeight="1">
      <c r="B53" s="142"/>
      <c r="C53" s="142"/>
      <c r="D53" s="142"/>
      <c r="E53" s="142"/>
      <c r="F53" s="142"/>
      <c r="G53" s="130"/>
      <c r="H53" s="130"/>
      <c r="K53" s="204"/>
      <c r="L53" s="216"/>
      <c r="M53" s="204"/>
    </row>
    <row r="54" spans="2:13" ht="12.9" hidden="1" customHeight="1">
      <c r="B54" s="142"/>
      <c r="C54" s="142"/>
      <c r="D54" s="142"/>
      <c r="E54" s="142"/>
      <c r="F54" s="142"/>
      <c r="G54" s="130"/>
      <c r="H54" s="130"/>
      <c r="K54" s="204"/>
      <c r="L54" s="216"/>
      <c r="M54" s="204"/>
    </row>
    <row r="55" spans="2:13" hidden="1">
      <c r="B55" s="142"/>
      <c r="C55" s="142"/>
      <c r="D55" s="142"/>
      <c r="E55" s="142"/>
      <c r="F55" s="142"/>
      <c r="K55" s="204"/>
      <c r="L55" s="204"/>
      <c r="M55" s="204"/>
    </row>
    <row r="56" spans="2:13" hidden="1">
      <c r="B56" s="142"/>
      <c r="C56" s="142"/>
      <c r="D56" s="142"/>
      <c r="E56" s="142"/>
      <c r="F56" s="142"/>
      <c r="K56" s="204"/>
      <c r="L56" s="204"/>
      <c r="M56" s="204"/>
    </row>
    <row r="57" spans="2:13" hidden="1">
      <c r="B57" s="142"/>
      <c r="C57" s="142"/>
      <c r="D57" s="142"/>
      <c r="E57" s="142"/>
      <c r="F57" s="142"/>
      <c r="K57" s="204"/>
      <c r="L57" s="204"/>
      <c r="M57" s="204"/>
    </row>
    <row r="58" spans="2:13" hidden="1">
      <c r="B58" s="142"/>
      <c r="C58" s="142"/>
      <c r="D58" s="142"/>
      <c r="E58" s="142"/>
      <c r="F58" s="142"/>
      <c r="K58" s="204"/>
      <c r="L58" s="204"/>
      <c r="M58" s="204"/>
    </row>
    <row r="59" spans="2:13" hidden="1">
      <c r="B59" s="142"/>
      <c r="C59" s="142"/>
      <c r="D59" s="142"/>
      <c r="E59" s="142"/>
      <c r="F59" s="142"/>
      <c r="K59" s="204"/>
      <c r="L59" s="204"/>
      <c r="M59" s="204"/>
    </row>
    <row r="60" spans="2:13" hidden="1">
      <c r="B60" s="142"/>
      <c r="C60" s="142"/>
      <c r="D60" s="142"/>
      <c r="E60" s="142"/>
      <c r="F60" s="142"/>
      <c r="K60" s="204"/>
      <c r="L60" s="204"/>
      <c r="M60" s="204"/>
    </row>
    <row r="61" spans="2:13" hidden="1">
      <c r="B61" s="142"/>
      <c r="C61" s="142"/>
      <c r="D61" s="142"/>
      <c r="E61" s="142"/>
      <c r="F61" s="142"/>
      <c r="K61" s="204"/>
      <c r="L61" s="204"/>
      <c r="M61" s="204"/>
    </row>
    <row r="62" spans="2:13" hidden="1">
      <c r="B62" s="142"/>
      <c r="C62" s="142"/>
      <c r="D62" s="142"/>
      <c r="E62" s="142"/>
      <c r="F62" s="142"/>
      <c r="K62" s="204"/>
      <c r="L62" s="204"/>
      <c r="M62" s="204"/>
    </row>
    <row r="63" spans="2:13" hidden="1">
      <c r="B63" s="142"/>
      <c r="C63" s="142"/>
      <c r="D63" s="142"/>
      <c r="E63" s="142"/>
      <c r="F63" s="142"/>
    </row>
    <row r="64" spans="2:13" hidden="1">
      <c r="B64" s="142"/>
      <c r="C64" s="142"/>
      <c r="D64" s="142"/>
      <c r="E64" s="142"/>
      <c r="F64" s="142"/>
    </row>
    <row r="65" spans="2:6" hidden="1">
      <c r="B65" s="142"/>
      <c r="C65" s="142"/>
      <c r="D65" s="142"/>
      <c r="E65" s="142"/>
      <c r="F65" s="142"/>
    </row>
    <row r="66" spans="2:6" hidden="1">
      <c r="B66" s="142"/>
      <c r="C66" s="142"/>
      <c r="D66" s="142"/>
      <c r="E66" s="142"/>
      <c r="F66" s="142"/>
    </row>
    <row r="67" spans="2:6" hidden="1">
      <c r="B67" s="142"/>
      <c r="C67" s="142"/>
      <c r="D67" s="142"/>
      <c r="E67" s="142"/>
      <c r="F67" s="142"/>
    </row>
    <row r="68" spans="2:6" hidden="1">
      <c r="B68" s="142"/>
      <c r="C68" s="142"/>
      <c r="D68" s="142"/>
      <c r="E68" s="142"/>
      <c r="F68" s="142"/>
    </row>
    <row r="69" spans="2:6" hidden="1">
      <c r="B69" s="142"/>
      <c r="C69" s="142"/>
      <c r="D69" s="142"/>
      <c r="E69" s="142"/>
      <c r="F69" s="142"/>
    </row>
    <row r="70" spans="2:6" hidden="1">
      <c r="B70" s="142"/>
      <c r="C70" s="142"/>
      <c r="D70" s="142"/>
      <c r="E70" s="142"/>
      <c r="F70" s="142"/>
    </row>
  </sheetData>
  <mergeCells count="5">
    <mergeCell ref="C6:I6"/>
    <mergeCell ref="D7:D9"/>
    <mergeCell ref="E7:E9"/>
    <mergeCell ref="G7:G9"/>
    <mergeCell ref="F7:F9"/>
  </mergeCells>
  <pageMargins left="0.7" right="0.7" top="0.75" bottom="0.75" header="0.3" footer="0.3"/>
  <pageSetup scale="87" orientation="landscape" r:id="rId1"/>
  <headerFooter scaleWithDoc="0">
    <oddFooter xml:space="preserve">&amp;L&amp;"Arial,Regular"&amp;7Port Concession Evaluation Model&amp;R&amp;"Arial,Regular"&amp;7Copyright Public Financial Management, Inc.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8" tint="0.59999389629810485"/>
    <pageSetUpPr autoPageBreaks="0" fitToPage="1"/>
  </sheetPr>
  <dimension ref="A1:R69"/>
  <sheetViews>
    <sheetView tabSelected="1" zoomScaleNormal="100" workbookViewId="0">
      <selection activeCell="B1" sqref="B1"/>
    </sheetView>
  </sheetViews>
  <sheetFormatPr defaultColWidth="0" defaultRowHeight="13.2" zeroHeight="1"/>
  <cols>
    <col min="1" max="1" width="10.625" style="1" customWidth="1"/>
    <col min="2" max="2" width="9.375" style="2" customWidth="1"/>
    <col min="3" max="3" width="16.5" style="2" customWidth="1"/>
    <col min="4" max="4" width="17.125" style="2" customWidth="1"/>
    <col min="5" max="6" width="17.125" style="130" customWidth="1"/>
    <col min="7" max="7" width="17.875" style="2" customWidth="1"/>
    <col min="8" max="8" width="21.125" style="2" customWidth="1"/>
    <col min="9" max="9" width="13.125" style="2" customWidth="1"/>
    <col min="10" max="10" width="15.875" style="2" customWidth="1"/>
    <col min="11" max="11" width="15.875" style="130" customWidth="1"/>
    <col min="12" max="12" width="14.875" style="2" customWidth="1"/>
    <col min="13" max="13" width="17.625" style="1" customWidth="1"/>
    <col min="14" max="14" width="9.375" style="1" customWidth="1"/>
    <col min="15" max="15" width="16.125" style="1" customWidth="1"/>
    <col min="16" max="18" width="9.375" style="1" customWidth="1"/>
    <col min="19" max="16384" width="9.375" style="1" hidden="1"/>
  </cols>
  <sheetData>
    <row r="1" spans="2:15"/>
    <row r="2" spans="2:15"/>
    <row r="3" spans="2:15"/>
    <row r="4" spans="2:15" ht="13.8">
      <c r="B4" s="6" t="s">
        <v>105</v>
      </c>
    </row>
    <row r="5" spans="2:15" ht="13.8">
      <c r="B5" s="6"/>
      <c r="C5" s="130"/>
      <c r="D5" s="130"/>
      <c r="G5" s="130"/>
      <c r="H5" s="130"/>
      <c r="I5" s="130"/>
      <c r="J5" s="130"/>
      <c r="L5" s="130"/>
    </row>
    <row r="6" spans="2:15">
      <c r="L6" s="123"/>
      <c r="M6" s="133" t="str">
        <f>"IRR Result: "&amp;TEXT(IRR(M10:M61), "0.00%")</f>
        <v>IRR Result: 13.99%</v>
      </c>
    </row>
    <row r="7" spans="2:15" ht="12.75" customHeight="1">
      <c r="B7" s="245" t="s">
        <v>0</v>
      </c>
      <c r="C7" s="236" t="s">
        <v>88</v>
      </c>
      <c r="D7" s="239" t="s">
        <v>28</v>
      </c>
      <c r="E7" s="242" t="s">
        <v>90</v>
      </c>
      <c r="F7" s="242" t="s">
        <v>89</v>
      </c>
      <c r="G7" s="60" t="s">
        <v>49</v>
      </c>
      <c r="H7" s="188" t="s">
        <v>29</v>
      </c>
      <c r="I7" s="60" t="s">
        <v>91</v>
      </c>
      <c r="J7" s="63"/>
      <c r="K7" s="63"/>
      <c r="L7" s="66"/>
      <c r="M7" s="222"/>
    </row>
    <row r="8" spans="2:15">
      <c r="B8" s="246"/>
      <c r="C8" s="237"/>
      <c r="D8" s="240"/>
      <c r="E8" s="243"/>
      <c r="F8" s="243"/>
      <c r="G8" s="96" t="s">
        <v>50</v>
      </c>
      <c r="H8" s="92" t="s">
        <v>31</v>
      </c>
      <c r="I8" s="61" t="s">
        <v>92</v>
      </c>
      <c r="J8" s="64" t="s">
        <v>32</v>
      </c>
      <c r="K8" s="64" t="s">
        <v>56</v>
      </c>
      <c r="L8" s="67"/>
      <c r="M8" s="223" t="s">
        <v>98</v>
      </c>
    </row>
    <row r="9" spans="2:15" ht="15.6">
      <c r="B9" s="247"/>
      <c r="C9" s="238"/>
      <c r="D9" s="241"/>
      <c r="E9" s="244"/>
      <c r="F9" s="244"/>
      <c r="G9" s="97" t="s">
        <v>7</v>
      </c>
      <c r="H9" s="93" t="s">
        <v>7</v>
      </c>
      <c r="I9" s="62" t="s">
        <v>51</v>
      </c>
      <c r="J9" s="65" t="s">
        <v>33</v>
      </c>
      <c r="K9" s="65" t="s">
        <v>57</v>
      </c>
      <c r="L9" s="68" t="s">
        <v>107</v>
      </c>
      <c r="M9" s="128" t="s">
        <v>117</v>
      </c>
    </row>
    <row r="10" spans="2:15">
      <c r="B10" s="176">
        <f>'Data Input'!B8</f>
        <v>2015</v>
      </c>
      <c r="C10" s="70">
        <f>'Data Input'!C8</f>
        <v>10615866.581421999</v>
      </c>
      <c r="D10" s="70">
        <f>'Data Input'!D8</f>
        <v>7255944.8084019367</v>
      </c>
      <c r="E10" s="71">
        <f>IF(B10&lt;=YEAR('I. Assumptions'!$E$24), 0, 'I. Assumptions'!$E$16)</f>
        <v>0</v>
      </c>
      <c r="F10" s="71">
        <f>(C10-D10)*'I. Assumptions'!$E$17</f>
        <v>638385.13687381195</v>
      </c>
      <c r="G10" s="73">
        <f t="shared" ref="G10:G41" si="0">C10-SUM(D10:F10)</f>
        <v>2721536.6361462511</v>
      </c>
      <c r="H10" s="72">
        <f>'V. Debt Cvrg - Concessionaire'!H7</f>
        <v>0</v>
      </c>
      <c r="I10" s="70">
        <f>(C10-D10)*'I. Assumptions'!$E$18</f>
        <v>167996.08865100314</v>
      </c>
      <c r="J10" s="70">
        <f>'VII. Tax'!S5</f>
        <v>893739.19162333652</v>
      </c>
      <c r="K10" s="70">
        <f>IF(B10&lt;=YEAR('I. Assumptions'!$E$24),'II. S&amp;U'!$H$16/(DAYS360('I. Assumptions'!$E$23,'I. Assumptions'!$E$24)/360),0)</f>
        <v>26000000</v>
      </c>
      <c r="L10" s="70">
        <f t="shared" ref="L10:L17" si="1">G10-SUM(H10:J10)</f>
        <v>1659801.3558719114</v>
      </c>
      <c r="M10" s="70">
        <f>-K10+L10</f>
        <v>-24340198.644128088</v>
      </c>
      <c r="O10" s="129"/>
    </row>
    <row r="11" spans="2:15">
      <c r="B11" s="177">
        <f>'Data Input'!B9</f>
        <v>2016</v>
      </c>
      <c r="C11" s="71">
        <f>'Data Input'!C9</f>
        <v>26893532.122798398</v>
      </c>
      <c r="D11" s="71">
        <f>'Data Input'!D9</f>
        <v>18381729.205932707</v>
      </c>
      <c r="E11" s="71">
        <f>IF(B11&lt;=YEAR('I. Assumptions'!$E$24), 0, 'I. Assumptions'!$E$16)</f>
        <v>0</v>
      </c>
      <c r="F11" s="71">
        <f>(C11-D11)*'I. Assumptions'!$E$17</f>
        <v>1617242.5542044814</v>
      </c>
      <c r="G11" s="73">
        <f t="shared" si="0"/>
        <v>6894560.362661209</v>
      </c>
      <c r="H11" s="72">
        <f>'V. Debt Cvrg - Concessionaire'!H8</f>
        <v>0</v>
      </c>
      <c r="I11" s="71">
        <f>(C11-D11)*'I. Assumptions'!$E$18</f>
        <v>425590.14584328461</v>
      </c>
      <c r="J11" s="71">
        <f>'VII. Tax'!S6</f>
        <v>2264139.5758862738</v>
      </c>
      <c r="K11" s="71">
        <f>IF(B11&lt;=YEAR('I. Assumptions'!$E$24),'II. S&amp;U'!$H$16/(DAYS360('I. Assumptions'!$E$23,'I. Assumptions'!$E$24)/360),0)</f>
        <v>26000000</v>
      </c>
      <c r="L11" s="71">
        <f t="shared" si="1"/>
        <v>4204830.640931651</v>
      </c>
      <c r="M11" s="71">
        <f>-K11+L11</f>
        <v>-21795169.359068349</v>
      </c>
      <c r="O11" s="129"/>
    </row>
    <row r="12" spans="2:15">
      <c r="B12" s="177">
        <f>'Data Input'!B10</f>
        <v>2017</v>
      </c>
      <c r="C12" s="71">
        <f>'Data Input'!C10</f>
        <v>31463430.663299501</v>
      </c>
      <c r="D12" s="71">
        <f>'Data Input'!D10</f>
        <v>21505254.858365208</v>
      </c>
      <c r="E12" s="71">
        <f>IF(B12&lt;=YEAR('I. Assumptions'!$E$24), 0, 'I. Assumptions'!$E$16)</f>
        <v>0</v>
      </c>
      <c r="F12" s="71">
        <f>(C12-D12)*'I. Assumptions'!$E$17</f>
        <v>1892053.4029375156</v>
      </c>
      <c r="G12" s="73">
        <f t="shared" si="0"/>
        <v>8066122.4019967765</v>
      </c>
      <c r="H12" s="72">
        <f>'V. Debt Cvrg - Concessionaire'!H9</f>
        <v>0</v>
      </c>
      <c r="I12" s="71">
        <f>(C12-D12)*'I. Assumptions'!$E$18</f>
        <v>497908.79024671466</v>
      </c>
      <c r="J12" s="71">
        <f>'VII. Tax'!S7</f>
        <v>2648874.7641125219</v>
      </c>
      <c r="K12" s="71">
        <f>IF(B12&lt;=YEAR('I. Assumptions'!$E$24),'II. S&amp;U'!$H$16/(DAYS360('I. Assumptions'!$E$23,'I. Assumptions'!$E$24)/360),0)</f>
        <v>26000000</v>
      </c>
      <c r="L12" s="71">
        <f t="shared" si="1"/>
        <v>4919338.8476375397</v>
      </c>
      <c r="M12" s="71">
        <f>-K12+L12</f>
        <v>-21080661.152362458</v>
      </c>
      <c r="O12" s="129"/>
    </row>
    <row r="13" spans="2:15">
      <c r="B13" s="177">
        <f>'Data Input'!B11</f>
        <v>2018</v>
      </c>
      <c r="C13" s="71">
        <f>'Data Input'!C11</f>
        <v>36345526.392493501</v>
      </c>
      <c r="D13" s="71">
        <f>'Data Input'!D11</f>
        <v>24842167.289269309</v>
      </c>
      <c r="E13" s="71">
        <f>IF(B13&lt;=YEAR('I. Assumptions'!$E$24), 0, 'I. Assumptions'!$E$16)</f>
        <v>0</v>
      </c>
      <c r="F13" s="71">
        <f>(C13-D13)*'I. Assumptions'!$E$17</f>
        <v>2185638.2296125963</v>
      </c>
      <c r="G13" s="73">
        <f t="shared" si="0"/>
        <v>9317720.8736115955</v>
      </c>
      <c r="H13" s="72">
        <f>'V. Debt Cvrg - Concessionaire'!H10</f>
        <v>0</v>
      </c>
      <c r="I13" s="71">
        <f>(C13-D13)*'I. Assumptions'!$E$18</f>
        <v>575167.95516120957</v>
      </c>
      <c r="J13" s="71">
        <f>'VII. Tax'!S8</f>
        <v>3059893.5214576349</v>
      </c>
      <c r="K13" s="71">
        <f>IF(B13&lt;=YEAR('I. Assumptions'!$E$24),'II. S&amp;U'!$H$16/(DAYS360('I. Assumptions'!$E$23,'I. Assumptions'!$E$24)/360),0)</f>
        <v>26000000</v>
      </c>
      <c r="L13" s="71">
        <f t="shared" si="1"/>
        <v>5682659.3969927505</v>
      </c>
      <c r="M13" s="71">
        <f t="shared" ref="M13:M61" si="2">L13</f>
        <v>5682659.3969927505</v>
      </c>
    </row>
    <row r="14" spans="2:15">
      <c r="B14" s="177">
        <f>'Data Input'!B12</f>
        <v>2019</v>
      </c>
      <c r="C14" s="71">
        <f>'Data Input'!C12</f>
        <v>91561147.373523101</v>
      </c>
      <c r="D14" s="71">
        <f>'Data Input'!D12</f>
        <v>62582044.229803041</v>
      </c>
      <c r="E14" s="71">
        <f>IF(B14&lt;=YEAR('I. Assumptions'!$E$24), 0, 'I. Assumptions'!$E$16)</f>
        <v>10000000</v>
      </c>
      <c r="F14" s="71">
        <f>(C14-D14)*'I. Assumptions'!$E$17</f>
        <v>5506029.5973068113</v>
      </c>
      <c r="G14" s="73">
        <f t="shared" si="0"/>
        <v>13473073.546413243</v>
      </c>
      <c r="H14" s="72">
        <f>'V. Debt Cvrg - Concessionaire'!H11</f>
        <v>7460445.9999999991</v>
      </c>
      <c r="I14" s="71">
        <f>(C14-D14)*'I. Assumptions'!$E$18</f>
        <v>1448955.1571860032</v>
      </c>
      <c r="J14" s="71">
        <f>'VII. Tax'!S9</f>
        <v>232285.3362295368</v>
      </c>
      <c r="K14" s="71">
        <f>IF(B14&lt;=YEAR('I. Assumptions'!$E$24),'II. S&amp;U'!$H$16/(DAYS360('I. Assumptions'!$E$23,'I. Assumptions'!$E$24)/360),0)</f>
        <v>0</v>
      </c>
      <c r="L14" s="71">
        <f t="shared" si="1"/>
        <v>4331387.0529977046</v>
      </c>
      <c r="M14" s="71">
        <f t="shared" si="2"/>
        <v>4331387.0529977046</v>
      </c>
    </row>
    <row r="15" spans="2:15">
      <c r="B15" s="177">
        <f>'Data Input'!B13</f>
        <v>2020</v>
      </c>
      <c r="C15" s="71">
        <f>'Data Input'!C13</f>
        <v>97133078.717492595</v>
      </c>
      <c r="D15" s="71">
        <f>'Data Input'!D13</f>
        <v>66390459.303406186</v>
      </c>
      <c r="E15" s="71">
        <f>IF(B15&lt;=YEAR('I. Assumptions'!$E$24), 0, 'I. Assumptions'!$E$16)</f>
        <v>10000000</v>
      </c>
      <c r="F15" s="71">
        <f>(C15-D15)*'I. Assumptions'!$E$17</f>
        <v>5841097.6886764178</v>
      </c>
      <c r="G15" s="73">
        <f t="shared" si="0"/>
        <v>14901521.725409999</v>
      </c>
      <c r="H15" s="72">
        <f>'V. Debt Cvrg - Concessionaire'!H12</f>
        <v>7449728.2999999998</v>
      </c>
      <c r="I15" s="71">
        <f>(C15-D15)*'I. Assumptions'!$E$18</f>
        <v>1537130.9707043206</v>
      </c>
      <c r="J15" s="71">
        <f>'VII. Tax'!S10</f>
        <v>728666.34190560656</v>
      </c>
      <c r="K15" s="71">
        <f>IF(B15&lt;=YEAR('I. Assumptions'!$E$24),'II. S&amp;U'!$H$16/(DAYS360('I. Assumptions'!$E$23,'I. Assumptions'!$E$24)/360),0)</f>
        <v>0</v>
      </c>
      <c r="L15" s="71">
        <f t="shared" si="1"/>
        <v>5185996.1128000729</v>
      </c>
      <c r="M15" s="71">
        <f t="shared" si="2"/>
        <v>5185996.1128000729</v>
      </c>
    </row>
    <row r="16" spans="2:15">
      <c r="B16" s="177">
        <f>'Data Input'!B14</f>
        <v>2021</v>
      </c>
      <c r="C16" s="71">
        <f>'Data Input'!C14</f>
        <v>103085662.123156</v>
      </c>
      <c r="D16" s="71">
        <f>'Data Input'!D14</f>
        <v>70459050.06117712</v>
      </c>
      <c r="E16" s="71">
        <f>IF(B16&lt;=YEAR('I. Assumptions'!$E$24), 0, 'I. Assumptions'!$E$16)</f>
        <v>10000000</v>
      </c>
      <c r="F16" s="71">
        <f>(C16-D16)*'I. Assumptions'!$E$17</f>
        <v>6199056.2917759866</v>
      </c>
      <c r="G16" s="73">
        <f t="shared" si="0"/>
        <v>16427555.77020289</v>
      </c>
      <c r="H16" s="72">
        <f>'V. Debt Cvrg - Concessionaire'!H13</f>
        <v>7458494.0499999998</v>
      </c>
      <c r="I16" s="71">
        <f>(C16-D16)*'I. Assumptions'!$E$18</f>
        <v>1631330.6030989438</v>
      </c>
      <c r="J16" s="71">
        <f>'VII. Tax'!S11</f>
        <v>1250695.1151243122</v>
      </c>
      <c r="K16" s="71">
        <f>IF(B16&lt;=YEAR('I. Assumptions'!$E$24),'II. S&amp;U'!$H$16/(DAYS360('I. Assumptions'!$E$23,'I. Assumptions'!$E$24)/360),0)</f>
        <v>0</v>
      </c>
      <c r="L16" s="71">
        <f t="shared" si="1"/>
        <v>6087036.0019796342</v>
      </c>
      <c r="M16" s="71">
        <f t="shared" si="2"/>
        <v>6087036.0019796342</v>
      </c>
      <c r="O16" s="129"/>
    </row>
    <row r="17" spans="2:15">
      <c r="B17" s="177">
        <f>'Data Input'!B15</f>
        <v>2022</v>
      </c>
      <c r="C17" s="71">
        <f>'Data Input'!C15</f>
        <v>109444902.21676201</v>
      </c>
      <c r="D17" s="71">
        <f>'Data Input'!D15</f>
        <v>74805590.665156826</v>
      </c>
      <c r="E17" s="71">
        <f>IF(B17&lt;=YEAR('I. Assumptions'!$E$24), 0, 'I. Assumptions'!$E$16)</f>
        <v>10000000</v>
      </c>
      <c r="F17" s="71">
        <f>(C17-D17)*'I. Assumptions'!$E$17</f>
        <v>6581469.1948049841</v>
      </c>
      <c r="G17" s="73">
        <f t="shared" si="0"/>
        <v>18057842.356800199</v>
      </c>
      <c r="H17" s="72">
        <f>'V. Debt Cvrg - Concessionaire'!H14</f>
        <v>7459192.9999999991</v>
      </c>
      <c r="I17" s="71">
        <f>(C17-D17)*'I. Assumptions'!$E$18</f>
        <v>1731965.5775802592</v>
      </c>
      <c r="J17" s="71">
        <f>'VII. Tax'!S12</f>
        <v>1810226.8945660579</v>
      </c>
      <c r="K17" s="71">
        <f>IF(B17&lt;=YEAR('I. Assumptions'!$E$24),'II. S&amp;U'!$H$16/(DAYS360('I. Assumptions'!$E$23,'I. Assumptions'!$E$24)/360),0)</f>
        <v>0</v>
      </c>
      <c r="L17" s="71">
        <f t="shared" si="1"/>
        <v>7056456.8846538831</v>
      </c>
      <c r="M17" s="71">
        <f t="shared" si="2"/>
        <v>7056456.8846538831</v>
      </c>
    </row>
    <row r="18" spans="2:15">
      <c r="B18" s="177">
        <f>'Data Input'!B16</f>
        <v>2023</v>
      </c>
      <c r="C18" s="71">
        <f>'Data Input'!C16</f>
        <v>112238580.15660299</v>
      </c>
      <c r="D18" s="71">
        <f>'Data Input'!D16</f>
        <v>76715069.537038147</v>
      </c>
      <c r="E18" s="71">
        <f>IF(B18&lt;=YEAR('I. Assumptions'!$E$24), 0, 'I. Assumptions'!$E$16)</f>
        <v>10000000</v>
      </c>
      <c r="F18" s="71">
        <f>(C18-D18)*'I. Assumptions'!$E$17</f>
        <v>6749467.0177173205</v>
      </c>
      <c r="G18" s="73">
        <f t="shared" si="0"/>
        <v>18774043.601847529</v>
      </c>
      <c r="H18" s="72">
        <f>'V. Debt Cvrg - Concessionaire'!H15</f>
        <v>10463413.1</v>
      </c>
      <c r="I18" s="71">
        <f>(C18-D18)*'I. Assumptions'!$E$18</f>
        <v>1776175.5309782424</v>
      </c>
      <c r="J18" s="71">
        <f>'VII. Tax'!S13</f>
        <v>1018814.3583387315</v>
      </c>
      <c r="K18" s="71">
        <f>IF(B18&lt;=YEAR('I. Assumptions'!$E$24),'II. S&amp;U'!$H$16/(DAYS360('I. Assumptions'!$E$23,'I. Assumptions'!$E$24)/360),0)</f>
        <v>0</v>
      </c>
      <c r="L18" s="71">
        <f>G18-SUM(H18:J18)</f>
        <v>5515640.6125305556</v>
      </c>
      <c r="M18" s="71">
        <f t="shared" si="2"/>
        <v>5515640.6125305556</v>
      </c>
      <c r="O18" s="129"/>
    </row>
    <row r="19" spans="2:15">
      <c r="B19" s="177">
        <f>'Data Input'!B17</f>
        <v>2024</v>
      </c>
      <c r="C19" s="71">
        <f>'Data Input'!C17</f>
        <v>113496374.99858128</v>
      </c>
      <c r="D19" s="71">
        <f>'Data Input'!D17</f>
        <v>77574772.311530307</v>
      </c>
      <c r="E19" s="71">
        <f>IF(B19&lt;=YEAR('I. Assumptions'!$E$24), 0, 'I. Assumptions'!$E$16)</f>
        <v>10000000</v>
      </c>
      <c r="F19" s="71">
        <f>(C19-D19)*'I. Assumptions'!$E$17</f>
        <v>6825104.5105396844</v>
      </c>
      <c r="G19" s="73">
        <f t="shared" si="0"/>
        <v>19096498.176511288</v>
      </c>
      <c r="H19" s="72">
        <f>'V. Debt Cvrg - Concessionaire'!H16</f>
        <v>10463228.824999999</v>
      </c>
      <c r="I19" s="71">
        <f>(C19-D19)*'I. Assumptions'!$E$18</f>
        <v>1796080.1343525485</v>
      </c>
      <c r="J19" s="71">
        <f>'VII. Tax'!S14</f>
        <v>1150136.2421693504</v>
      </c>
      <c r="K19" s="71">
        <f>IF(B19&lt;=YEAR('I. Assumptions'!$E$24),'II. S&amp;U'!$H$16/(DAYS360('I. Assumptions'!$E$23,'I. Assumptions'!$E$24)/360),0)</f>
        <v>0</v>
      </c>
      <c r="L19" s="71">
        <f t="shared" ref="L19:L60" si="3">G19-SUM(H19:J19)</f>
        <v>5687052.97498939</v>
      </c>
      <c r="M19" s="71">
        <f t="shared" si="2"/>
        <v>5687052.97498939</v>
      </c>
    </row>
    <row r="20" spans="2:15">
      <c r="B20" s="177">
        <f>'Data Input'!B18</f>
        <v>2025</v>
      </c>
      <c r="C20" s="71">
        <f>'Data Input'!C18</f>
        <v>121249993.35298435</v>
      </c>
      <c r="D20" s="71">
        <f>'Data Input'!D18</f>
        <v>82874370.456764802</v>
      </c>
      <c r="E20" s="71">
        <f>IF(B20&lt;=YEAR('I. Assumptions'!$E$24), 0, 'I. Assumptions'!$E$16)</f>
        <v>10000000</v>
      </c>
      <c r="F20" s="71">
        <f>(C20-D20)*'I. Assumptions'!$E$17</f>
        <v>7291368.3502817145</v>
      </c>
      <c r="G20" s="73">
        <f t="shared" si="0"/>
        <v>21084254.545937836</v>
      </c>
      <c r="H20" s="72">
        <f>'V. Debt Cvrg - Concessionaire'!H17</f>
        <v>10463530</v>
      </c>
      <c r="I20" s="71">
        <f>(C20-D20)*'I. Assumptions'!$E$18</f>
        <v>1918781.1448109776</v>
      </c>
      <c r="J20" s="71">
        <f>'VII. Tax'!S15</f>
        <v>1828693.539554782</v>
      </c>
      <c r="K20" s="71">
        <f>IF(B20&lt;=YEAR('I. Assumptions'!$E$24),'II. S&amp;U'!$H$16/(DAYS360('I. Assumptions'!$E$23,'I. Assumptions'!$E$24)/360),0)</f>
        <v>0</v>
      </c>
      <c r="L20" s="71">
        <f t="shared" si="3"/>
        <v>6873249.8615720756</v>
      </c>
      <c r="M20" s="71">
        <f t="shared" si="2"/>
        <v>6873249.8615720756</v>
      </c>
      <c r="O20" s="129"/>
    </row>
    <row r="21" spans="2:15">
      <c r="B21" s="177">
        <f>'Data Input'!B19</f>
        <v>2026</v>
      </c>
      <c r="C21" s="71">
        <f>'Data Input'!C19</f>
        <v>129533307.89888683</v>
      </c>
      <c r="D21" s="71">
        <f>'Data Input'!D19</f>
        <v>88536015.948889151</v>
      </c>
      <c r="E21" s="71">
        <f>IF(B21&lt;=YEAR('I. Assumptions'!$E$24), 0, 'I. Assumptions'!$E$16)</f>
        <v>10000000</v>
      </c>
      <c r="F21" s="71">
        <f>(C21-D21)*'I. Assumptions'!$E$17</f>
        <v>7789485.4704995593</v>
      </c>
      <c r="G21" s="73">
        <f t="shared" si="0"/>
        <v>23207806.479498118</v>
      </c>
      <c r="H21" s="72">
        <f>'V. Debt Cvrg - Concessionaire'!H18</f>
        <v>10464791.574999999</v>
      </c>
      <c r="I21" s="71">
        <f>(C21-D21)*'I. Assumptions'!$E$18</f>
        <v>2049864.597499884</v>
      </c>
      <c r="J21" s="71">
        <f>'VII. Tax'!S16</f>
        <v>2552072.1881497535</v>
      </c>
      <c r="K21" s="71">
        <f>IF(B21&lt;=YEAR('I. Assumptions'!$E$24),'II. S&amp;U'!$H$16/(DAYS360('I. Assumptions'!$E$23,'I. Assumptions'!$E$24)/360),0)</f>
        <v>0</v>
      </c>
      <c r="L21" s="71">
        <f t="shared" si="3"/>
        <v>8141078.1188484803</v>
      </c>
      <c r="M21" s="71">
        <f t="shared" si="2"/>
        <v>8141078.1188484803</v>
      </c>
    </row>
    <row r="22" spans="2:15">
      <c r="B22" s="177">
        <f>'Data Input'!B20</f>
        <v>2027</v>
      </c>
      <c r="C22" s="71">
        <f>'Data Input'!C20</f>
        <v>138382505.36130717</v>
      </c>
      <c r="D22" s="71">
        <f>'Data Input'!D20</f>
        <v>94584442.414453447</v>
      </c>
      <c r="E22" s="71">
        <f>IF(B22&lt;=YEAR('I. Assumptions'!$E$24), 0, 'I. Assumptions'!$E$16)</f>
        <v>10000000</v>
      </c>
      <c r="F22" s="71">
        <f>(C22-D22)*'I. Assumptions'!$E$17</f>
        <v>8321631.9599022083</v>
      </c>
      <c r="G22" s="73">
        <f t="shared" si="0"/>
        <v>25476430.986951515</v>
      </c>
      <c r="H22" s="72">
        <f>'V. Debt Cvrg - Concessionaire'!H19</f>
        <v>10464632.5</v>
      </c>
      <c r="I22" s="71">
        <f>(C22-D22)*'I. Assumptions'!$E$18</f>
        <v>2189903.1473426865</v>
      </c>
      <c r="J22" s="71">
        <f>'VII. Tax'!S17</f>
        <v>3324190.4590930007</v>
      </c>
      <c r="K22" s="71">
        <f>IF(B22&lt;=YEAR('I. Assumptions'!$E$24),'II. S&amp;U'!$H$16/(DAYS360('I. Assumptions'!$E$23,'I. Assumptions'!$E$24)/360),0)</f>
        <v>0</v>
      </c>
      <c r="L22" s="71">
        <f t="shared" si="3"/>
        <v>9497704.8805158287</v>
      </c>
      <c r="M22" s="71">
        <f t="shared" si="2"/>
        <v>9497704.8805158287</v>
      </c>
    </row>
    <row r="23" spans="2:15">
      <c r="B23" s="177">
        <f>'Data Input'!B21</f>
        <v>2028</v>
      </c>
      <c r="C23" s="71">
        <f>'Data Input'!C21</f>
        <v>147836244.59757021</v>
      </c>
      <c r="D23" s="71">
        <f>'Data Input'!D21</f>
        <v>101046073.18243924</v>
      </c>
      <c r="E23" s="71">
        <f>IF(B23&lt;=YEAR('I. Assumptions'!$E$24), 0, 'I. Assumptions'!$E$16)</f>
        <v>10000000</v>
      </c>
      <c r="F23" s="71">
        <f>(C23-D23)*'I. Assumptions'!$E$17</f>
        <v>8890132.5688748844</v>
      </c>
      <c r="G23" s="73">
        <f t="shared" si="0"/>
        <v>27900038.846256092</v>
      </c>
      <c r="H23" s="72">
        <f>'V. Debt Cvrg - Concessionaire'!H20</f>
        <v>10462532.5</v>
      </c>
      <c r="I23" s="71">
        <f>(C23-D23)*'I. Assumptions'!$E$18</f>
        <v>2339508.5707565485</v>
      </c>
      <c r="J23" s="71">
        <f>'VII. Tax'!S18</f>
        <v>4148528.0476016561</v>
      </c>
      <c r="K23" s="71">
        <f>IF(B23&lt;=YEAR('I. Assumptions'!$E$24),'II. S&amp;U'!$H$16/(DAYS360('I. Assumptions'!$E$23,'I. Assumptions'!$E$24)/360),0)</f>
        <v>0</v>
      </c>
      <c r="L23" s="71">
        <f t="shared" si="3"/>
        <v>10949469.727897886</v>
      </c>
      <c r="M23" s="71">
        <f t="shared" si="2"/>
        <v>10949469.727897886</v>
      </c>
    </row>
    <row r="24" spans="2:15">
      <c r="B24" s="177">
        <f>'Data Input'!B22</f>
        <v>2029</v>
      </c>
      <c r="C24" s="71">
        <f>'Data Input'!C22</f>
        <v>157935825.4834978</v>
      </c>
      <c r="D24" s="71">
        <f>'Data Input'!D22</f>
        <v>107949136.71797074</v>
      </c>
      <c r="E24" s="71">
        <f>IF(B24&lt;=YEAR('I. Assumptions'!$E$24), 0, 'I. Assumptions'!$E$16)</f>
        <v>10000000</v>
      </c>
      <c r="F24" s="71">
        <f>(C24-D24)*'I. Assumptions'!$E$17</f>
        <v>9497470.8654501401</v>
      </c>
      <c r="G24" s="73">
        <f t="shared" si="0"/>
        <v>30489217.900076911</v>
      </c>
      <c r="H24" s="72">
        <f>'V. Debt Cvrg - Concessionaire'!H21</f>
        <v>10461567.199999999</v>
      </c>
      <c r="I24" s="71">
        <f>(C24-D24)*'I. Assumptions'!$E$18</f>
        <v>2499334.4382763528</v>
      </c>
      <c r="J24" s="71">
        <f>'VII. Tax'!S19</f>
        <v>5027533.7971525928</v>
      </c>
      <c r="K24" s="71">
        <f>IF(B24&lt;=YEAR('I. Assumptions'!$E$24),'II. S&amp;U'!$H$16/(DAYS360('I. Assumptions'!$E$23,'I. Assumptions'!$E$24)/360),0)</f>
        <v>0</v>
      </c>
      <c r="L24" s="71">
        <f t="shared" si="3"/>
        <v>12500782.464647967</v>
      </c>
      <c r="M24" s="71">
        <f t="shared" si="2"/>
        <v>12500782.464647967</v>
      </c>
    </row>
    <row r="25" spans="2:15">
      <c r="B25" s="177">
        <f>'Data Input'!B23</f>
        <v>2030</v>
      </c>
      <c r="C25" s="71">
        <f>'Data Input'!C23</f>
        <v>168725369.33722845</v>
      </c>
      <c r="D25" s="71">
        <f>'Data Input'!D23</f>
        <v>115323789.94199564</v>
      </c>
      <c r="E25" s="71">
        <f>IF(B25&lt;=YEAR('I. Assumptions'!$E$24), 0, 'I. Assumptions'!$E$16)</f>
        <v>10000000</v>
      </c>
      <c r="F25" s="71">
        <f>(C25-D25)*'I. Assumptions'!$E$17</f>
        <v>10146300.085094234</v>
      </c>
      <c r="G25" s="73">
        <f t="shared" si="0"/>
        <v>33255279.310138583</v>
      </c>
      <c r="H25" s="72">
        <f>'V. Debt Cvrg - Concessionaire'!H22</f>
        <v>10464075.649999999</v>
      </c>
      <c r="I25" s="71">
        <f>(C25-D25)*'I. Assumptions'!$E$18</f>
        <v>2670078.9697616408</v>
      </c>
      <c r="J25" s="71">
        <f>'VII. Tax'!S20</f>
        <v>5964158.2443774184</v>
      </c>
      <c r="K25" s="71">
        <f>IF(B25&lt;=YEAR('I. Assumptions'!$E$24),'II. S&amp;U'!$H$16/(DAYS360('I. Assumptions'!$E$23,'I. Assumptions'!$E$24)/360),0)</f>
        <v>0</v>
      </c>
      <c r="L25" s="71">
        <f t="shared" si="3"/>
        <v>14156966.445999525</v>
      </c>
      <c r="M25" s="71">
        <f t="shared" si="2"/>
        <v>14156966.445999525</v>
      </c>
    </row>
    <row r="26" spans="2:15">
      <c r="B26" s="177">
        <f>'Data Input'!B24</f>
        <v>2031</v>
      </c>
      <c r="C26" s="71">
        <f>'Data Input'!C24</f>
        <v>180252011.66887054</v>
      </c>
      <c r="D26" s="71">
        <f>'Data Input'!D24</f>
        <v>123202249.975673</v>
      </c>
      <c r="E26" s="71">
        <f>IF(B26&lt;=YEAR('I. Assumptions'!$E$24), 0, 'I. Assumptions'!$E$16)</f>
        <v>10000000</v>
      </c>
      <c r="F26" s="71">
        <f>(C26-D26)*'I. Assumptions'!$E$17</f>
        <v>10839454.721707532</v>
      </c>
      <c r="G26" s="73">
        <f t="shared" si="0"/>
        <v>36210306.971489996</v>
      </c>
      <c r="H26" s="72">
        <f>'V. Debt Cvrg - Concessionaire'!H23</f>
        <v>10462611.6</v>
      </c>
      <c r="I26" s="71">
        <f>(C26-D26)*'I. Assumptions'!$E$18</f>
        <v>2852488.0846598768</v>
      </c>
      <c r="J26" s="71">
        <f>'VII. Tax'!S21</f>
        <v>6965038.1363931019</v>
      </c>
      <c r="K26" s="71">
        <f>IF(B26&lt;=YEAR('I. Assumptions'!$E$24),'II. S&amp;U'!$H$16/(DAYS360('I. Assumptions'!$E$23,'I. Assumptions'!$E$24)/360),0)</f>
        <v>0</v>
      </c>
      <c r="L26" s="71">
        <f t="shared" si="3"/>
        <v>15930169.15043702</v>
      </c>
      <c r="M26" s="71">
        <f t="shared" si="2"/>
        <v>15930169.15043702</v>
      </c>
    </row>
    <row r="27" spans="2:15">
      <c r="B27" s="177">
        <f>'Data Input'!B25</f>
        <v>2032</v>
      </c>
      <c r="C27" s="71">
        <f>'Data Input'!C25</f>
        <v>192566108.09804106</v>
      </c>
      <c r="D27" s="71">
        <f>'Data Input'!D25</f>
        <v>131618934.88501106</v>
      </c>
      <c r="E27" s="71">
        <f>IF(B27&lt;=YEAR('I. Assumptions'!$E$24), 0, 'I. Assumptions'!$E$16)</f>
        <v>10000000</v>
      </c>
      <c r="F27" s="71">
        <f>(C27-D27)*'I. Assumptions'!$E$17</f>
        <v>11579962.910475699</v>
      </c>
      <c r="G27" s="73">
        <f t="shared" si="0"/>
        <v>39367210.30255428</v>
      </c>
      <c r="H27" s="72">
        <f>'V. Debt Cvrg - Concessionaire'!H24</f>
        <v>10463989.899999999</v>
      </c>
      <c r="I27" s="71">
        <f>(C27-D27)*'I. Assumptions'!$E$18</f>
        <v>3047358.6606514999</v>
      </c>
      <c r="J27" s="71">
        <f>'VII. Tax'!S22</f>
        <v>8032099.0901978752</v>
      </c>
      <c r="K27" s="71">
        <f>IF(B27&lt;=YEAR('I. Assumptions'!$E$24),'II. S&amp;U'!$H$16/(DAYS360('I. Assumptions'!$E$23,'I. Assumptions'!$E$24)/360),0)</f>
        <v>0</v>
      </c>
      <c r="L27" s="71">
        <f t="shared" si="3"/>
        <v>17823762.651704907</v>
      </c>
      <c r="M27" s="71">
        <f t="shared" si="2"/>
        <v>17823762.651704907</v>
      </c>
    </row>
    <row r="28" spans="2:15">
      <c r="B28" s="177">
        <f>'Data Input'!B26</f>
        <v>2033</v>
      </c>
      <c r="C28" s="71">
        <f>'Data Input'!C26</f>
        <v>205721454.33886683</v>
      </c>
      <c r="D28" s="71">
        <f>'Data Input'!D26</f>
        <v>140610614.04061547</v>
      </c>
      <c r="E28" s="71">
        <f>IF(B28&lt;=YEAR('I. Assumptions'!$E$24), 0, 'I. Assumptions'!$E$16)</f>
        <v>10000000</v>
      </c>
      <c r="F28" s="71">
        <f>(C28-D28)*'I. Assumptions'!$E$17</f>
        <v>12371059.656667758</v>
      </c>
      <c r="G28" s="73">
        <f t="shared" si="0"/>
        <v>42739780.641583592</v>
      </c>
      <c r="H28" s="72">
        <f>'V. Debt Cvrg - Concessionaire'!H25</f>
        <v>10463826.1</v>
      </c>
      <c r="I28" s="71">
        <f>(C28-D28)*'I. Assumptions'!$E$18</f>
        <v>3255542.014912568</v>
      </c>
      <c r="J28" s="71">
        <f>'VII. Tax'!S23</f>
        <v>9171487.2561001368</v>
      </c>
      <c r="K28" s="71">
        <f>IF(B28&lt;=YEAR('I. Assumptions'!$E$24),'II. S&amp;U'!$H$16/(DAYS360('I. Assumptions'!$E$23,'I. Assumptions'!$E$24)/360),0)</f>
        <v>0</v>
      </c>
      <c r="L28" s="71">
        <f t="shared" si="3"/>
        <v>19848925.270570889</v>
      </c>
      <c r="M28" s="71">
        <f t="shared" si="2"/>
        <v>19848925.270570889</v>
      </c>
    </row>
    <row r="29" spans="2:15">
      <c r="B29" s="177">
        <f>'Data Input'!B27</f>
        <v>2034</v>
      </c>
      <c r="C29" s="71">
        <f>'Data Input'!C27</f>
        <v>219775521.21348086</v>
      </c>
      <c r="D29" s="71">
        <f>'Data Input'!D27</f>
        <v>150216568.74941418</v>
      </c>
      <c r="E29" s="71">
        <f>IF(B29&lt;=YEAR('I. Assumptions'!$E$24), 0, 'I. Assumptions'!$E$16)</f>
        <v>10000000</v>
      </c>
      <c r="F29" s="71">
        <f>(C29-D29)*'I. Assumptions'!$E$17</f>
        <v>13216200.968172669</v>
      </c>
      <c r="G29" s="73">
        <f t="shared" si="0"/>
        <v>46342751.495894015</v>
      </c>
      <c r="H29" s="72">
        <f>'V. Debt Cvrg - Concessionaire'!H26</f>
        <v>10464232.799999999</v>
      </c>
      <c r="I29" s="71">
        <f>(C29-D29)*'I. Assumptions'!$E$18</f>
        <v>3477947.6232033344</v>
      </c>
      <c r="J29" s="71">
        <f>'VII. Tax'!S24</f>
        <v>10387397.984814839</v>
      </c>
      <c r="K29" s="71"/>
      <c r="L29" s="71">
        <f t="shared" si="3"/>
        <v>22013173.087875843</v>
      </c>
      <c r="M29" s="71">
        <f t="shared" si="2"/>
        <v>22013173.087875843</v>
      </c>
    </row>
    <row r="30" spans="2:15">
      <c r="B30" s="177">
        <f>'Data Input'!B28</f>
        <v>2035</v>
      </c>
      <c r="C30" s="71">
        <f>'Data Input'!C28</f>
        <v>234789705.72070101</v>
      </c>
      <c r="D30" s="71">
        <f>'Data Input'!D28</f>
        <v>160478763.86009914</v>
      </c>
      <c r="E30" s="71">
        <f>IF(B30&lt;=YEAR('I. Assumptions'!$E$24), 0, 'I. Assumptions'!$E$16)</f>
        <v>10000000</v>
      </c>
      <c r="F30" s="71">
        <f>(C30-D30)*'I. Assumptions'!$E$17</f>
        <v>14119078.953514356</v>
      </c>
      <c r="G30" s="73">
        <f t="shared" si="0"/>
        <v>50191862.907087505</v>
      </c>
      <c r="H30" s="72">
        <f>'V. Debt Cvrg - Concessionaire'!H27</f>
        <v>10463948.25</v>
      </c>
      <c r="I30" s="71">
        <f>(C30-D30)*'I. Assumptions'!$E$18</f>
        <v>3715547.0930300937</v>
      </c>
      <c r="J30" s="71">
        <f>'VII. Tax'!S25</f>
        <v>11685555.395744156</v>
      </c>
      <c r="K30" s="71"/>
      <c r="L30" s="71">
        <f t="shared" si="3"/>
        <v>24326812.168313257</v>
      </c>
      <c r="M30" s="71">
        <f t="shared" si="2"/>
        <v>24326812.168313257</v>
      </c>
    </row>
    <row r="31" spans="2:15">
      <c r="B31" s="177">
        <f>'Data Input'!B29</f>
        <v>2036</v>
      </c>
      <c r="C31" s="71">
        <f>'Data Input'!C29</f>
        <v>250829599.25671637</v>
      </c>
      <c r="D31" s="71">
        <f>'Data Input'!D29</f>
        <v>171442031.09196565</v>
      </c>
      <c r="E31" s="71">
        <f>IF(B31&lt;=YEAR('I. Assumptions'!$E$24), 0, 'I. Assumptions'!$E$16)</f>
        <v>10000000</v>
      </c>
      <c r="F31" s="71">
        <f>(C31-D31)*'I. Assumptions'!$E$17</f>
        <v>15083637.951302638</v>
      </c>
      <c r="G31" s="73">
        <f t="shared" si="0"/>
        <v>54303930.213448077</v>
      </c>
      <c r="H31" s="72">
        <f>'V. Debt Cvrg - Concessionaire'!H28</f>
        <v>10462230.449999999</v>
      </c>
      <c r="I31" s="71">
        <f>(C31-D31)*'I. Assumptions'!$E$18</f>
        <v>3969378.4082375364</v>
      </c>
      <c r="J31" s="71">
        <f>'VII. Tax'!S26</f>
        <v>13071876.655404519</v>
      </c>
      <c r="K31" s="71"/>
      <c r="L31" s="71">
        <f t="shared" si="3"/>
        <v>26800444.699806023</v>
      </c>
      <c r="M31" s="71">
        <f t="shared" si="2"/>
        <v>26800444.699806023</v>
      </c>
    </row>
    <row r="32" spans="2:15">
      <c r="B32" s="177">
        <f>'Data Input'!B30</f>
        <v>2037</v>
      </c>
      <c r="C32" s="71">
        <f>'Data Input'!C30</f>
        <v>267965274.15953821</v>
      </c>
      <c r="D32" s="71">
        <f>'Data Input'!D30</f>
        <v>183154264.88804436</v>
      </c>
      <c r="E32" s="71">
        <f>IF(B32&lt;=YEAR('I. Assumptions'!$E$24), 0, 'I. Assumptions'!$E$16)</f>
        <v>10000000</v>
      </c>
      <c r="F32" s="71">
        <f>(C32-D32)*'I. Assumptions'!$E$17</f>
        <v>16114091.761583833</v>
      </c>
      <c r="G32" s="73">
        <f t="shared" si="0"/>
        <v>58696917.509910017</v>
      </c>
      <c r="H32" s="72">
        <f>'V. Debt Cvrg - Concessionaire'!H29</f>
        <v>10461801.524999999</v>
      </c>
      <c r="I32" s="71">
        <f>(C32-D32)*'I. Assumptions'!$E$18</f>
        <v>4240550.4635746926</v>
      </c>
      <c r="J32" s="71">
        <f>'VII. Tax'!S27</f>
        <v>14551471.93933649</v>
      </c>
      <c r="K32" s="71"/>
      <c r="L32" s="71">
        <f t="shared" si="3"/>
        <v>29443093.581998836</v>
      </c>
      <c r="M32" s="71">
        <f t="shared" si="2"/>
        <v>29443093.581998836</v>
      </c>
    </row>
    <row r="33" spans="2:13">
      <c r="B33" s="177">
        <f>'Data Input'!B31</f>
        <v>2038</v>
      </c>
      <c r="C33" s="71">
        <f>'Data Input'!C31</f>
        <v>286271589.82902122</v>
      </c>
      <c r="D33" s="71">
        <f>'Data Input'!D31</f>
        <v>195666631.64813599</v>
      </c>
      <c r="E33" s="71">
        <f>IF(B33&lt;=YEAR('I. Assumptions'!$E$24), 0, 'I. Assumptions'!$E$16)</f>
        <v>10000000</v>
      </c>
      <c r="F33" s="71">
        <f>(C33-D33)*'I. Assumptions'!$E$17</f>
        <v>17214942.054368194</v>
      </c>
      <c r="G33" s="73">
        <f t="shared" si="0"/>
        <v>63390016.126517028</v>
      </c>
      <c r="H33" s="72">
        <f>'V. Debt Cvrg - Concessionaire'!H30</f>
        <v>10464611.149999999</v>
      </c>
      <c r="I33" s="71">
        <f>(C33-D33)*'I. Assumptions'!$E$18</f>
        <v>4530247.9090442611</v>
      </c>
      <c r="J33" s="71">
        <f>'VII. Tax'!S28</f>
        <v>16130161.98017236</v>
      </c>
      <c r="K33" s="71"/>
      <c r="L33" s="71">
        <f t="shared" si="3"/>
        <v>32264995.087300405</v>
      </c>
      <c r="M33" s="71">
        <f t="shared" si="2"/>
        <v>32264995.087300405</v>
      </c>
    </row>
    <row r="34" spans="2:13">
      <c r="B34" s="177">
        <f>'Data Input'!B32</f>
        <v>2039</v>
      </c>
      <c r="C34" s="71">
        <f>'Data Input'!C32</f>
        <v>305828519.75978059</v>
      </c>
      <c r="D34" s="71">
        <f>'Data Input'!D32</f>
        <v>209033793.25581002</v>
      </c>
      <c r="E34" s="71">
        <f>IF(B34&lt;=YEAR('I. Assumptions'!$E$24), 0, 'I. Assumptions'!$E$16)</f>
        <v>10000000</v>
      </c>
      <c r="F34" s="71">
        <f>(C34-D34)*'I. Assumptions'!$E$17</f>
        <v>18390998.035754409</v>
      </c>
      <c r="G34" s="73">
        <f t="shared" si="0"/>
        <v>68403728.468216151</v>
      </c>
      <c r="H34" s="72">
        <f>'V. Debt Cvrg - Concessionaire'!H31</f>
        <v>10462210.149999999</v>
      </c>
      <c r="I34" s="71">
        <f>(C34-D34)*'I. Assumptions'!$E$18</f>
        <v>4839736.3251985284</v>
      </c>
      <c r="J34" s="71">
        <f>'VII. Tax'!S29</f>
        <v>17817887.853785213</v>
      </c>
      <c r="K34" s="71"/>
      <c r="L34" s="71">
        <f t="shared" si="3"/>
        <v>35283894.139232412</v>
      </c>
      <c r="M34" s="71">
        <f t="shared" si="2"/>
        <v>35283894.139232412</v>
      </c>
    </row>
    <row r="35" spans="2:13">
      <c r="B35" s="177">
        <f>'Data Input'!B33</f>
        <v>2040</v>
      </c>
      <c r="C35" s="71">
        <f>'Data Input'!C33</f>
        <v>326721500.91568971</v>
      </c>
      <c r="D35" s="71">
        <f>'Data Input'!D33</f>
        <v>223314145.87587392</v>
      </c>
      <c r="E35" s="71">
        <f>IF(B35&lt;=YEAR('I. Assumptions'!$E$24), 0, 'I. Assumptions'!$E$16)</f>
        <v>10000000</v>
      </c>
      <c r="F35" s="71">
        <f>(C35-D35)*'I. Assumptions'!$E$17</f>
        <v>19647397.457564998</v>
      </c>
      <c r="G35" s="73">
        <f t="shared" si="0"/>
        <v>73759957.582250774</v>
      </c>
      <c r="H35" s="72">
        <f>'V. Debt Cvrg - Concessionaire'!H32</f>
        <v>10463848.149999999</v>
      </c>
      <c r="I35" s="71">
        <f>(C35-D35)*'I. Assumptions'!$E$18</f>
        <v>5170367.7519907895</v>
      </c>
      <c r="J35" s="71">
        <f>'VII. Tax'!S30</f>
        <v>19618925.73564066</v>
      </c>
      <c r="K35" s="71"/>
      <c r="L35" s="71">
        <f t="shared" si="3"/>
        <v>38506815.944619328</v>
      </c>
      <c r="M35" s="71">
        <f t="shared" si="2"/>
        <v>38506815.944619328</v>
      </c>
    </row>
    <row r="36" spans="2:13">
      <c r="B36" s="177">
        <f>'Data Input'!B34</f>
        <v>2041</v>
      </c>
      <c r="C36" s="71">
        <f>'Data Input'!C34</f>
        <v>336523145.94316047</v>
      </c>
      <c r="D36" s="71">
        <f>'Data Input'!D34</f>
        <v>230013570.25215018</v>
      </c>
      <c r="E36" s="71">
        <f>IF(B36&lt;=YEAR('I. Assumptions'!$E$24), 0, 'I. Assumptions'!$E$16)</f>
        <v>10000000</v>
      </c>
      <c r="F36" s="71">
        <f>(C36-D36)*'I. Assumptions'!$E$17</f>
        <v>20236819.381291956</v>
      </c>
      <c r="G36" s="73">
        <f t="shared" si="0"/>
        <v>76272756.309718341</v>
      </c>
      <c r="H36" s="72">
        <f>'V. Debt Cvrg - Concessionaire'!H33</f>
        <v>10461994.549999999</v>
      </c>
      <c r="I36" s="71">
        <f>(C36-D36)*'I. Assumptions'!$E$18</f>
        <v>5325478.784550515</v>
      </c>
      <c r="J36" s="71">
        <f>'VII. Tax'!S31</f>
        <v>20490082.929636542</v>
      </c>
      <c r="K36" s="71"/>
      <c r="L36" s="71">
        <f t="shared" si="3"/>
        <v>39995200.045531288</v>
      </c>
      <c r="M36" s="71">
        <f t="shared" si="2"/>
        <v>39995200.045531288</v>
      </c>
    </row>
    <row r="37" spans="2:13">
      <c r="B37" s="177">
        <f>'Data Input'!B35</f>
        <v>2042</v>
      </c>
      <c r="C37" s="71">
        <f>'Data Input'!C35</f>
        <v>346618840.3214553</v>
      </c>
      <c r="D37" s="71">
        <f>'Data Input'!D35</f>
        <v>236913977.35971469</v>
      </c>
      <c r="E37" s="71">
        <f>IF(B37&lt;=YEAR('I. Assumptions'!$E$24), 0, 'I. Assumptions'!$E$16)</f>
        <v>10000000</v>
      </c>
      <c r="F37" s="71">
        <f>(C37-D37)*'I. Assumptions'!$E$17</f>
        <v>20843923.962730717</v>
      </c>
      <c r="G37" s="73">
        <f t="shared" si="0"/>
        <v>78860938.999009907</v>
      </c>
      <c r="H37" s="72">
        <f>'V. Debt Cvrg - Concessionaire'!H34</f>
        <v>10462815.475</v>
      </c>
      <c r="I37" s="71">
        <f>(C37-D37)*'I. Assumptions'!$E$18</f>
        <v>5485243.1480870312</v>
      </c>
      <c r="J37" s="71">
        <f>'VII. Tax'!S32</f>
        <v>21388296.742163103</v>
      </c>
      <c r="K37" s="71"/>
      <c r="L37" s="71">
        <f t="shared" si="3"/>
        <v>41524583.633759774</v>
      </c>
      <c r="M37" s="71">
        <f t="shared" si="2"/>
        <v>41524583.633759774</v>
      </c>
    </row>
    <row r="38" spans="2:13">
      <c r="B38" s="177">
        <f>'Data Input'!B36</f>
        <v>2043</v>
      </c>
      <c r="C38" s="71">
        <f>'Data Input'!C36</f>
        <v>357017405.53109896</v>
      </c>
      <c r="D38" s="71">
        <f>'Data Input'!D36</f>
        <v>244021396.68050614</v>
      </c>
      <c r="E38" s="71">
        <f>IF(B38&lt;=YEAR('I. Assumptions'!$E$24), 0, 'I. Assumptions'!$E$16)</f>
        <v>10000000</v>
      </c>
      <c r="F38" s="71">
        <f>(C38-D38)*'I. Assumptions'!$E$17</f>
        <v>21469241.681612637</v>
      </c>
      <c r="G38" s="73">
        <f t="shared" si="0"/>
        <v>81526767.168980181</v>
      </c>
      <c r="H38" s="72">
        <f>'V. Debt Cvrg - Concessionaire'!H35</f>
        <v>10464626.199999999</v>
      </c>
      <c r="I38" s="71">
        <f>(C38-D38)*'I. Assumptions'!$E$18</f>
        <v>5649800.4425296411</v>
      </c>
      <c r="J38" s="71">
        <f>'VII. Tax'!S33</f>
        <v>22315708.743965283</v>
      </c>
      <c r="K38" s="71"/>
      <c r="L38" s="71">
        <f t="shared" si="3"/>
        <v>43096631.782485262</v>
      </c>
      <c r="M38" s="71">
        <f t="shared" si="2"/>
        <v>43096631.782485262</v>
      </c>
    </row>
    <row r="39" spans="2:13">
      <c r="B39" s="177">
        <f>'Data Input'!B37</f>
        <v>2044</v>
      </c>
      <c r="C39" s="71">
        <f>'Data Input'!C37</f>
        <v>367727927.69703192</v>
      </c>
      <c r="D39" s="71">
        <f>'Data Input'!D37</f>
        <v>251342038.58092132</v>
      </c>
      <c r="E39" s="71">
        <f>IF(B39&lt;=YEAR('I. Assumptions'!$E$24), 0, 'I. Assumptions'!$E$16)</f>
        <v>10000000</v>
      </c>
      <c r="F39" s="71">
        <f>(C39-D39)*'I. Assumptions'!$E$17</f>
        <v>22113318.932061013</v>
      </c>
      <c r="G39" s="73">
        <f t="shared" si="0"/>
        <v>84272570.184049606</v>
      </c>
      <c r="H39" s="72">
        <f>'V. Debt Cvrg - Concessionaire'!H36</f>
        <v>10462736.899999999</v>
      </c>
      <c r="I39" s="71">
        <f>(C39-D39)*'I. Assumptions'!$E$18</f>
        <v>5819294.4558055298</v>
      </c>
      <c r="J39" s="71">
        <f>'VII. Tax'!S34</f>
        <v>23275939.19362225</v>
      </c>
      <c r="K39" s="71"/>
      <c r="L39" s="71">
        <f t="shared" si="3"/>
        <v>44714599.634621829</v>
      </c>
      <c r="M39" s="71">
        <f t="shared" si="2"/>
        <v>44714599.634621829</v>
      </c>
    </row>
    <row r="40" spans="2:13">
      <c r="B40" s="177">
        <f>'Data Input'!B38</f>
        <v>2045</v>
      </c>
      <c r="C40" s="71">
        <f>'Data Input'!C38</f>
        <v>367727927.69703192</v>
      </c>
      <c r="D40" s="71">
        <f>'Data Input'!D38</f>
        <v>251342038.58092132</v>
      </c>
      <c r="E40" s="71">
        <f>IF(B40&lt;=YEAR('I. Assumptions'!$E$24), 0, 'I. Assumptions'!$E$16)</f>
        <v>10000000</v>
      </c>
      <c r="F40" s="71">
        <f>(C40-D40)*'I. Assumptions'!$E$17</f>
        <v>22113318.932061013</v>
      </c>
      <c r="G40" s="73">
        <f t="shared" si="0"/>
        <v>84272570.184049606</v>
      </c>
      <c r="H40" s="72">
        <f>'V. Debt Cvrg - Concessionaire'!H37</f>
        <v>10462467.049999999</v>
      </c>
      <c r="I40" s="71">
        <f>(C40-D40)*'I. Assumptions'!$E$18</f>
        <v>5819294.4558055298</v>
      </c>
      <c r="J40" s="71">
        <f>'VII. Tax'!S35</f>
        <v>23341127.315655146</v>
      </c>
      <c r="K40" s="71"/>
      <c r="L40" s="71">
        <f t="shared" si="3"/>
        <v>44649681.362588927</v>
      </c>
      <c r="M40" s="71">
        <f t="shared" si="2"/>
        <v>44649681.362588927</v>
      </c>
    </row>
    <row r="41" spans="2:13">
      <c r="B41" s="177">
        <f>'Data Input'!B39</f>
        <v>2046</v>
      </c>
      <c r="C41" s="71">
        <f>'Data Input'!C39</f>
        <v>367727927.69703192</v>
      </c>
      <c r="D41" s="71">
        <f>'Data Input'!D39</f>
        <v>251342038.58092132</v>
      </c>
      <c r="E41" s="71">
        <f>IF(B41&lt;=YEAR('I. Assumptions'!$E$24), 0, 'I. Assumptions'!$E$16)</f>
        <v>10000000</v>
      </c>
      <c r="F41" s="71">
        <f>(C41-D41)*'I. Assumptions'!$E$17</f>
        <v>22113318.932061013</v>
      </c>
      <c r="G41" s="73">
        <f t="shared" si="0"/>
        <v>84272570.184049606</v>
      </c>
      <c r="H41" s="72">
        <f>'V. Debt Cvrg - Concessionaire'!H38</f>
        <v>10462438.35</v>
      </c>
      <c r="I41" s="71">
        <f>(C41-D41)*'I. Assumptions'!$E$18</f>
        <v>5819294.4558055298</v>
      </c>
      <c r="J41" s="71">
        <f>'VII. Tax'!S36</f>
        <v>23417079.980943523</v>
      </c>
      <c r="K41" s="71"/>
      <c r="L41" s="71">
        <f t="shared" si="3"/>
        <v>44573757.397300556</v>
      </c>
      <c r="M41" s="71">
        <f t="shared" si="2"/>
        <v>44573757.397300556</v>
      </c>
    </row>
    <row r="42" spans="2:13">
      <c r="B42" s="177">
        <f>'Data Input'!B40</f>
        <v>2047</v>
      </c>
      <c r="C42" s="71">
        <f>'Data Input'!C40</f>
        <v>367727927.69703192</v>
      </c>
      <c r="D42" s="71">
        <f>'Data Input'!D40</f>
        <v>251342038.58092132</v>
      </c>
      <c r="E42" s="71">
        <f>IF(B42&lt;=YEAR('I. Assumptions'!$E$24), 0, 'I. Assumptions'!$E$16)</f>
        <v>10000000</v>
      </c>
      <c r="F42" s="71">
        <f>(C42-D42)*'I. Assumptions'!$E$17</f>
        <v>22113318.932061013</v>
      </c>
      <c r="G42" s="73">
        <f t="shared" ref="G42:G61" si="4">C42-SUM(D42:F42)</f>
        <v>84272570.184049606</v>
      </c>
      <c r="H42" s="72">
        <f>'V. Debt Cvrg - Concessionaire'!H39</f>
        <v>0</v>
      </c>
      <c r="I42" s="71">
        <f>(C42-D42)*'I. Assumptions'!$E$18</f>
        <v>5819294.4558055298</v>
      </c>
      <c r="J42" s="71">
        <f>'VII. Tax'!S37</f>
        <v>27173861.678803999</v>
      </c>
      <c r="K42" s="71"/>
      <c r="L42" s="71">
        <f t="shared" si="3"/>
        <v>51279414.049440078</v>
      </c>
      <c r="M42" s="71">
        <f t="shared" si="2"/>
        <v>51279414.049440078</v>
      </c>
    </row>
    <row r="43" spans="2:13">
      <c r="B43" s="177">
        <f>'Data Input'!B41</f>
        <v>2048</v>
      </c>
      <c r="C43" s="71">
        <f>'Data Input'!C41</f>
        <v>367727927.69703192</v>
      </c>
      <c r="D43" s="71">
        <f>'Data Input'!D41</f>
        <v>251342038.58092132</v>
      </c>
      <c r="E43" s="71">
        <f>IF(B43&lt;=YEAR('I. Assumptions'!$E$24), 0, 'I. Assumptions'!$E$16)</f>
        <v>10000000</v>
      </c>
      <c r="F43" s="71">
        <f>(C43-D43)*'I. Assumptions'!$E$17</f>
        <v>22113318.932061013</v>
      </c>
      <c r="G43" s="73">
        <f t="shared" si="4"/>
        <v>84272570.184049606</v>
      </c>
      <c r="H43" s="72">
        <f>'V. Debt Cvrg - Concessionaire'!H40</f>
        <v>0</v>
      </c>
      <c r="I43" s="71">
        <f>(C43-D43)*'I. Assumptions'!$E$18</f>
        <v>5819294.4558055298</v>
      </c>
      <c r="J43" s="71">
        <f>'VII. Tax'!S38</f>
        <v>27363718.229524948</v>
      </c>
      <c r="K43" s="71"/>
      <c r="L43" s="71">
        <f t="shared" si="3"/>
        <v>51089557.498719126</v>
      </c>
      <c r="M43" s="71">
        <f t="shared" si="2"/>
        <v>51089557.498719126</v>
      </c>
    </row>
    <row r="44" spans="2:13">
      <c r="B44" s="177">
        <f>'Data Input'!B42</f>
        <v>2049</v>
      </c>
      <c r="C44" s="71">
        <f>'Data Input'!C42</f>
        <v>367727927.69703192</v>
      </c>
      <c r="D44" s="71">
        <f>'Data Input'!D42</f>
        <v>251342038.58092132</v>
      </c>
      <c r="E44" s="71">
        <f>IF(B44&lt;=YEAR('I. Assumptions'!$E$24), 0, 'I. Assumptions'!$E$16)</f>
        <v>10000000</v>
      </c>
      <c r="F44" s="71">
        <f>(C44-D44)*'I. Assumptions'!$E$17</f>
        <v>22113318.932061013</v>
      </c>
      <c r="G44" s="73">
        <f t="shared" si="4"/>
        <v>84272570.184049606</v>
      </c>
      <c r="H44" s="72">
        <f>'V. Debt Cvrg - Concessionaire'!H41</f>
        <v>0</v>
      </c>
      <c r="I44" s="71">
        <f>(C44-D44)*'I. Assumptions'!$E$18</f>
        <v>5819294.4558055298</v>
      </c>
      <c r="J44" s="71">
        <f>'VII. Tax'!S39</f>
        <v>27458646.504885416</v>
      </c>
      <c r="K44" s="71"/>
      <c r="L44" s="71">
        <f t="shared" si="3"/>
        <v>50994629.223358661</v>
      </c>
      <c r="M44" s="71">
        <f t="shared" si="2"/>
        <v>50994629.223358661</v>
      </c>
    </row>
    <row r="45" spans="2:13">
      <c r="B45" s="177">
        <f>'Data Input'!B43</f>
        <v>2050</v>
      </c>
      <c r="C45" s="71">
        <f>'Data Input'!C43</f>
        <v>367727927.69703192</v>
      </c>
      <c r="D45" s="71">
        <f>'Data Input'!D43</f>
        <v>251342038.58092132</v>
      </c>
      <c r="E45" s="71">
        <f>IF(B45&lt;=YEAR('I. Assumptions'!$E$24), 0, 'I. Assumptions'!$E$16)</f>
        <v>10000000</v>
      </c>
      <c r="F45" s="71">
        <f>(C45-D45)*'I. Assumptions'!$E$17</f>
        <v>22113318.932061013</v>
      </c>
      <c r="G45" s="73">
        <f t="shared" si="4"/>
        <v>84272570.184049606</v>
      </c>
      <c r="H45" s="72">
        <f>'V. Debt Cvrg - Concessionaire'!H42</f>
        <v>0</v>
      </c>
      <c r="I45" s="71">
        <f>(C45-D45)*'I. Assumptions'!$E$18</f>
        <v>5819294.4558055298</v>
      </c>
      <c r="J45" s="71">
        <f>'VII. Tax'!S40</f>
        <v>27458646.504885416</v>
      </c>
      <c r="K45" s="71"/>
      <c r="L45" s="71">
        <f t="shared" si="3"/>
        <v>50994629.223358661</v>
      </c>
      <c r="M45" s="71">
        <f t="shared" si="2"/>
        <v>50994629.223358661</v>
      </c>
    </row>
    <row r="46" spans="2:13">
      <c r="B46" s="177">
        <f>'Data Input'!B44</f>
        <v>2051</v>
      </c>
      <c r="C46" s="71">
        <f>'Data Input'!C44</f>
        <v>367727927.69703192</v>
      </c>
      <c r="D46" s="71">
        <f>'Data Input'!D44</f>
        <v>251342038.58092132</v>
      </c>
      <c r="E46" s="71">
        <f>IF(B46&lt;=YEAR('I. Assumptions'!$E$24), 0, 'I. Assumptions'!$E$16)</f>
        <v>10000000</v>
      </c>
      <c r="F46" s="71">
        <f>(C46-D46)*'I. Assumptions'!$E$17</f>
        <v>22113318.932061013</v>
      </c>
      <c r="G46" s="73">
        <f t="shared" si="4"/>
        <v>84272570.184049606</v>
      </c>
      <c r="H46" s="72">
        <f>'V. Debt Cvrg - Concessionaire'!H43</f>
        <v>0</v>
      </c>
      <c r="I46" s="71">
        <f>(C46-D46)*'I. Assumptions'!$E$18</f>
        <v>5819294.4558055298</v>
      </c>
      <c r="J46" s="71">
        <f>'VII. Tax'!S41</f>
        <v>27458646.504885416</v>
      </c>
      <c r="K46" s="71"/>
      <c r="L46" s="71">
        <f t="shared" si="3"/>
        <v>50994629.223358661</v>
      </c>
      <c r="M46" s="71">
        <f t="shared" si="2"/>
        <v>50994629.223358661</v>
      </c>
    </row>
    <row r="47" spans="2:13">
      <c r="B47" s="177">
        <f>'Data Input'!B45</f>
        <v>2052</v>
      </c>
      <c r="C47" s="71">
        <f>'Data Input'!C45</f>
        <v>367727927.69703192</v>
      </c>
      <c r="D47" s="71">
        <f>'Data Input'!D45</f>
        <v>251342038.58092132</v>
      </c>
      <c r="E47" s="71">
        <f>IF(B47&lt;=YEAR('I. Assumptions'!$E$24), 0, 'I. Assumptions'!$E$16)</f>
        <v>10000000</v>
      </c>
      <c r="F47" s="71">
        <f>(C47-D47)*'I. Assumptions'!$E$17</f>
        <v>22113318.932061013</v>
      </c>
      <c r="G47" s="73">
        <f t="shared" si="4"/>
        <v>84272570.184049606</v>
      </c>
      <c r="H47" s="72">
        <f>'V. Debt Cvrg - Concessionaire'!H44</f>
        <v>0</v>
      </c>
      <c r="I47" s="71">
        <f>(C47-D47)*'I. Assumptions'!$E$18</f>
        <v>5819294.4558055298</v>
      </c>
      <c r="J47" s="71">
        <f>'VII. Tax'!S42</f>
        <v>27458646.504885416</v>
      </c>
      <c r="K47" s="71"/>
      <c r="L47" s="71">
        <f t="shared" si="3"/>
        <v>50994629.223358661</v>
      </c>
      <c r="M47" s="71">
        <f t="shared" si="2"/>
        <v>50994629.223358661</v>
      </c>
    </row>
    <row r="48" spans="2:13">
      <c r="B48" s="177">
        <f>'Data Input'!B46</f>
        <v>2053</v>
      </c>
      <c r="C48" s="71">
        <f>'Data Input'!C46</f>
        <v>367727927.69703192</v>
      </c>
      <c r="D48" s="71">
        <f>'Data Input'!D46</f>
        <v>251342038.58092132</v>
      </c>
      <c r="E48" s="71">
        <f>IF(B48&lt;=YEAR('I. Assumptions'!$E$24), 0, 'I. Assumptions'!$E$16)</f>
        <v>10000000</v>
      </c>
      <c r="F48" s="71">
        <f>(C48-D48)*'I. Assumptions'!$E$17</f>
        <v>22113318.932061013</v>
      </c>
      <c r="G48" s="73">
        <f t="shared" si="4"/>
        <v>84272570.184049606</v>
      </c>
      <c r="H48" s="72">
        <f>'V. Debt Cvrg - Concessionaire'!H45</f>
        <v>0</v>
      </c>
      <c r="I48" s="71">
        <f>(C48-D48)*'I. Assumptions'!$E$18</f>
        <v>5819294.4558055298</v>
      </c>
      <c r="J48" s="71">
        <f>'VII. Tax'!S43</f>
        <v>27458646.504885416</v>
      </c>
      <c r="K48" s="71"/>
      <c r="L48" s="71">
        <f t="shared" si="3"/>
        <v>50994629.223358661</v>
      </c>
      <c r="M48" s="71">
        <f t="shared" si="2"/>
        <v>50994629.223358661</v>
      </c>
    </row>
    <row r="49" spans="2:13">
      <c r="B49" s="177">
        <f>'Data Input'!B47</f>
        <v>2054</v>
      </c>
      <c r="C49" s="71">
        <f>'Data Input'!C47</f>
        <v>367727927.69703192</v>
      </c>
      <c r="D49" s="71">
        <f>'Data Input'!D47</f>
        <v>251342038.58092132</v>
      </c>
      <c r="E49" s="71">
        <f>IF(B49&lt;=YEAR('I. Assumptions'!$E$24), 0, 'I. Assumptions'!$E$16)</f>
        <v>10000000</v>
      </c>
      <c r="F49" s="71">
        <f>(C49-D49)*'I. Assumptions'!$E$17</f>
        <v>22113318.932061013</v>
      </c>
      <c r="G49" s="73">
        <f t="shared" si="4"/>
        <v>84272570.184049606</v>
      </c>
      <c r="H49" s="72">
        <f>'V. Debt Cvrg - Concessionaire'!H46</f>
        <v>0</v>
      </c>
      <c r="I49" s="71">
        <f>(C49-D49)*'I. Assumptions'!$E$18</f>
        <v>5819294.4558055298</v>
      </c>
      <c r="J49" s="71">
        <f>'VII. Tax'!S44</f>
        <v>27458646.504885416</v>
      </c>
      <c r="K49" s="71"/>
      <c r="L49" s="71">
        <f t="shared" si="3"/>
        <v>50994629.223358661</v>
      </c>
      <c r="M49" s="71">
        <f t="shared" si="2"/>
        <v>50994629.223358661</v>
      </c>
    </row>
    <row r="50" spans="2:13">
      <c r="B50" s="177">
        <f>'Data Input'!B48</f>
        <v>2055</v>
      </c>
      <c r="C50" s="71">
        <f>'Data Input'!C48</f>
        <v>367727927.69703192</v>
      </c>
      <c r="D50" s="71">
        <f>'Data Input'!D48</f>
        <v>251342038.58092132</v>
      </c>
      <c r="E50" s="71">
        <f>IF(B50&lt;=YEAR('I. Assumptions'!$E$24), 0, 'I. Assumptions'!$E$16)</f>
        <v>10000000</v>
      </c>
      <c r="F50" s="71">
        <f>(C50-D50)*'I. Assumptions'!$E$17</f>
        <v>22113318.932061013</v>
      </c>
      <c r="G50" s="73">
        <f t="shared" si="4"/>
        <v>84272570.184049606</v>
      </c>
      <c r="H50" s="72">
        <f>'V. Debt Cvrg - Concessionaire'!H47</f>
        <v>0</v>
      </c>
      <c r="I50" s="71">
        <f>(C50-D50)*'I. Assumptions'!$E$18</f>
        <v>5819294.4558055298</v>
      </c>
      <c r="J50" s="71">
        <f>'VII. Tax'!S45</f>
        <v>27458646.504885416</v>
      </c>
      <c r="K50" s="71"/>
      <c r="L50" s="71">
        <f t="shared" si="3"/>
        <v>50994629.223358661</v>
      </c>
      <c r="M50" s="71">
        <f t="shared" si="2"/>
        <v>50994629.223358661</v>
      </c>
    </row>
    <row r="51" spans="2:13">
      <c r="B51" s="177">
        <f>'Data Input'!B49</f>
        <v>2056</v>
      </c>
      <c r="C51" s="71">
        <f>'Data Input'!C49</f>
        <v>367727927.69703192</v>
      </c>
      <c r="D51" s="71">
        <f>'Data Input'!D49</f>
        <v>251342038.58092132</v>
      </c>
      <c r="E51" s="71">
        <f>IF(B51&lt;=YEAR('I. Assumptions'!$E$24), 0, 'I. Assumptions'!$E$16)</f>
        <v>10000000</v>
      </c>
      <c r="F51" s="71">
        <f>(C51-D51)*'I. Assumptions'!$E$17</f>
        <v>22113318.932061013</v>
      </c>
      <c r="G51" s="73">
        <f t="shared" si="4"/>
        <v>84272570.184049606</v>
      </c>
      <c r="H51" s="72">
        <f>'V. Debt Cvrg - Concessionaire'!H48</f>
        <v>0</v>
      </c>
      <c r="I51" s="71">
        <f>(C51-D51)*'I. Assumptions'!$E$18</f>
        <v>5819294.4558055298</v>
      </c>
      <c r="J51" s="71">
        <f>'VII. Tax'!S46</f>
        <v>27458646.504885416</v>
      </c>
      <c r="K51" s="71"/>
      <c r="L51" s="71">
        <f t="shared" si="3"/>
        <v>50994629.223358661</v>
      </c>
      <c r="M51" s="71">
        <f t="shared" si="2"/>
        <v>50994629.223358661</v>
      </c>
    </row>
    <row r="52" spans="2:13">
      <c r="B52" s="177">
        <f>'Data Input'!B50</f>
        <v>2057</v>
      </c>
      <c r="C52" s="71">
        <f>'Data Input'!C50</f>
        <v>367727927.69703192</v>
      </c>
      <c r="D52" s="71">
        <f>'Data Input'!D50</f>
        <v>251342038.58092132</v>
      </c>
      <c r="E52" s="71">
        <f>IF(B52&lt;=YEAR('I. Assumptions'!$E$24), 0, 'I. Assumptions'!$E$16)</f>
        <v>10000000</v>
      </c>
      <c r="F52" s="71">
        <f>(C52-D52)*'I. Assumptions'!$E$17</f>
        <v>22113318.932061013</v>
      </c>
      <c r="G52" s="73">
        <f t="shared" si="4"/>
        <v>84272570.184049606</v>
      </c>
      <c r="H52" s="72">
        <f>'V. Debt Cvrg - Concessionaire'!H49</f>
        <v>0</v>
      </c>
      <c r="I52" s="71">
        <f>(C52-D52)*'I. Assumptions'!$E$18</f>
        <v>5819294.4558055298</v>
      </c>
      <c r="J52" s="71">
        <f>'VII. Tax'!S47</f>
        <v>27458646.504885416</v>
      </c>
      <c r="K52" s="71"/>
      <c r="L52" s="71">
        <f t="shared" si="3"/>
        <v>50994629.223358661</v>
      </c>
      <c r="M52" s="71">
        <f t="shared" si="2"/>
        <v>50994629.223358661</v>
      </c>
    </row>
    <row r="53" spans="2:13">
      <c r="B53" s="177">
        <f>'Data Input'!B51</f>
        <v>2058</v>
      </c>
      <c r="C53" s="71">
        <f>'Data Input'!C51</f>
        <v>367727927.69703192</v>
      </c>
      <c r="D53" s="71">
        <f>'Data Input'!D51</f>
        <v>251342038.58092132</v>
      </c>
      <c r="E53" s="71">
        <f>IF(B53&lt;=YEAR('I. Assumptions'!$E$24), 0, 'I. Assumptions'!$E$16)</f>
        <v>10000000</v>
      </c>
      <c r="F53" s="71">
        <f>(C53-D53)*'I. Assumptions'!$E$17</f>
        <v>22113318.932061013</v>
      </c>
      <c r="G53" s="73">
        <f t="shared" si="4"/>
        <v>84272570.184049606</v>
      </c>
      <c r="H53" s="72">
        <f>'V. Debt Cvrg - Concessionaire'!H50</f>
        <v>0</v>
      </c>
      <c r="I53" s="71">
        <f>(C53-D53)*'I. Assumptions'!$E$18</f>
        <v>5819294.4558055298</v>
      </c>
      <c r="J53" s="71">
        <f>'VII. Tax'!S48</f>
        <v>27458646.504885416</v>
      </c>
      <c r="K53" s="71"/>
      <c r="L53" s="71">
        <f t="shared" si="3"/>
        <v>50994629.223358661</v>
      </c>
      <c r="M53" s="71">
        <f t="shared" si="2"/>
        <v>50994629.223358661</v>
      </c>
    </row>
    <row r="54" spans="2:13">
      <c r="B54" s="177">
        <f>'Data Input'!B52</f>
        <v>2059</v>
      </c>
      <c r="C54" s="71">
        <f>'Data Input'!C52</f>
        <v>367727927.69703192</v>
      </c>
      <c r="D54" s="71">
        <f>'Data Input'!D52</f>
        <v>251342038.58092132</v>
      </c>
      <c r="E54" s="71">
        <f>IF(B54&lt;=YEAR('I. Assumptions'!$E$24), 0, 'I. Assumptions'!$E$16)</f>
        <v>10000000</v>
      </c>
      <c r="F54" s="71">
        <f>(C54-D54)*'I. Assumptions'!$E$17</f>
        <v>22113318.932061013</v>
      </c>
      <c r="G54" s="73">
        <f t="shared" si="4"/>
        <v>84272570.184049606</v>
      </c>
      <c r="H54" s="72">
        <f>'V. Debt Cvrg - Concessionaire'!H51</f>
        <v>0</v>
      </c>
      <c r="I54" s="71">
        <f>(C54-D54)*'I. Assumptions'!$E$18</f>
        <v>5819294.4558055298</v>
      </c>
      <c r="J54" s="71">
        <f>'VII. Tax'!S49</f>
        <v>27458646.504885416</v>
      </c>
      <c r="K54" s="71"/>
      <c r="L54" s="71">
        <f t="shared" si="3"/>
        <v>50994629.223358661</v>
      </c>
      <c r="M54" s="71">
        <f t="shared" si="2"/>
        <v>50994629.223358661</v>
      </c>
    </row>
    <row r="55" spans="2:13">
      <c r="B55" s="177">
        <f>'Data Input'!B53</f>
        <v>2060</v>
      </c>
      <c r="C55" s="71">
        <f>'Data Input'!C53</f>
        <v>367727927.69703192</v>
      </c>
      <c r="D55" s="71">
        <f>'Data Input'!D53</f>
        <v>251342038.58092132</v>
      </c>
      <c r="E55" s="71">
        <f>IF(B55&lt;=YEAR('I. Assumptions'!$E$24), 0, 'I. Assumptions'!$E$16)</f>
        <v>10000000</v>
      </c>
      <c r="F55" s="71">
        <f>(C55-D55)*'I. Assumptions'!$E$17</f>
        <v>22113318.932061013</v>
      </c>
      <c r="G55" s="73">
        <f t="shared" si="4"/>
        <v>84272570.184049606</v>
      </c>
      <c r="H55" s="72">
        <f>'V. Debt Cvrg - Concessionaire'!H52</f>
        <v>0</v>
      </c>
      <c r="I55" s="71">
        <f>(C55-D55)*'I. Assumptions'!$E$18</f>
        <v>5819294.4558055298</v>
      </c>
      <c r="J55" s="71">
        <f>'VII. Tax'!S50</f>
        <v>27458646.504885416</v>
      </c>
      <c r="K55" s="71"/>
      <c r="L55" s="71">
        <f t="shared" si="3"/>
        <v>50994629.223358661</v>
      </c>
      <c r="M55" s="71">
        <f t="shared" si="2"/>
        <v>50994629.223358661</v>
      </c>
    </row>
    <row r="56" spans="2:13">
      <c r="B56" s="177">
        <f>'Data Input'!B54</f>
        <v>2061</v>
      </c>
      <c r="C56" s="71">
        <f>'Data Input'!C54</f>
        <v>367727927.69703192</v>
      </c>
      <c r="D56" s="71">
        <f>'Data Input'!D54</f>
        <v>251342038.58092132</v>
      </c>
      <c r="E56" s="71">
        <f>IF(B56&lt;=YEAR('I. Assumptions'!$E$24), 0, 'I. Assumptions'!$E$16)</f>
        <v>10000000</v>
      </c>
      <c r="F56" s="71">
        <f>(C56-D56)*'I. Assumptions'!$E$17</f>
        <v>22113318.932061013</v>
      </c>
      <c r="G56" s="73">
        <f t="shared" si="4"/>
        <v>84272570.184049606</v>
      </c>
      <c r="H56" s="72">
        <f>'V. Debt Cvrg - Concessionaire'!H53</f>
        <v>0</v>
      </c>
      <c r="I56" s="71">
        <f>(C56-D56)*'I. Assumptions'!$E$18</f>
        <v>5819294.4558055298</v>
      </c>
      <c r="J56" s="71">
        <f>'VII. Tax'!S51</f>
        <v>27458646.504885416</v>
      </c>
      <c r="K56" s="71"/>
      <c r="L56" s="71">
        <f t="shared" si="3"/>
        <v>50994629.223358661</v>
      </c>
      <c r="M56" s="71">
        <f t="shared" si="2"/>
        <v>50994629.223358661</v>
      </c>
    </row>
    <row r="57" spans="2:13">
      <c r="B57" s="177">
        <f>'Data Input'!B55</f>
        <v>2062</v>
      </c>
      <c r="C57" s="71">
        <f>'Data Input'!C55</f>
        <v>367727927.69703192</v>
      </c>
      <c r="D57" s="71">
        <f>'Data Input'!D55</f>
        <v>251342038.58092132</v>
      </c>
      <c r="E57" s="71">
        <f>IF(B57&lt;=YEAR('I. Assumptions'!$E$24), 0, 'I. Assumptions'!$E$16)</f>
        <v>10000000</v>
      </c>
      <c r="F57" s="71">
        <f>(C57-D57)*'I. Assumptions'!$E$17</f>
        <v>22113318.932061013</v>
      </c>
      <c r="G57" s="73">
        <f t="shared" si="4"/>
        <v>84272570.184049606</v>
      </c>
      <c r="H57" s="72">
        <f>'V. Debt Cvrg - Concessionaire'!H54</f>
        <v>0</v>
      </c>
      <c r="I57" s="71">
        <f>(C57-D57)*'I. Assumptions'!$E$18</f>
        <v>5819294.4558055298</v>
      </c>
      <c r="J57" s="71">
        <f>'VII. Tax'!S52</f>
        <v>27458646.504885416</v>
      </c>
      <c r="K57" s="71"/>
      <c r="L57" s="71">
        <f t="shared" si="3"/>
        <v>50994629.223358661</v>
      </c>
      <c r="M57" s="71">
        <f t="shared" si="2"/>
        <v>50994629.223358661</v>
      </c>
    </row>
    <row r="58" spans="2:13">
      <c r="B58" s="177">
        <f>'Data Input'!B56</f>
        <v>2063</v>
      </c>
      <c r="C58" s="71">
        <f>'Data Input'!C56</f>
        <v>367727927.69703192</v>
      </c>
      <c r="D58" s="71">
        <f>'Data Input'!D56</f>
        <v>251342038.58092132</v>
      </c>
      <c r="E58" s="71">
        <f>IF(B58&lt;=YEAR('I. Assumptions'!$E$24), 0, 'I. Assumptions'!$E$16)</f>
        <v>10000000</v>
      </c>
      <c r="F58" s="71">
        <f>(C58-D58)*'I. Assumptions'!$E$17</f>
        <v>22113318.932061013</v>
      </c>
      <c r="G58" s="73">
        <f t="shared" si="4"/>
        <v>84272570.184049606</v>
      </c>
      <c r="H58" s="72">
        <f>'V. Debt Cvrg - Concessionaire'!H55</f>
        <v>0</v>
      </c>
      <c r="I58" s="71">
        <f>(C58-D58)*'I. Assumptions'!$E$18</f>
        <v>5819294.4558055298</v>
      </c>
      <c r="J58" s="71">
        <f>'VII. Tax'!S53</f>
        <v>27458646.504885416</v>
      </c>
      <c r="K58" s="71"/>
      <c r="L58" s="71">
        <f t="shared" si="3"/>
        <v>50994629.223358661</v>
      </c>
      <c r="M58" s="71">
        <f t="shared" si="2"/>
        <v>50994629.223358661</v>
      </c>
    </row>
    <row r="59" spans="2:13">
      <c r="B59" s="177">
        <f>'Data Input'!B57</f>
        <v>2064</v>
      </c>
      <c r="C59" s="71">
        <f>'Data Input'!C57</f>
        <v>367727927.69703192</v>
      </c>
      <c r="D59" s="71">
        <f>'Data Input'!D57</f>
        <v>251342038.58092132</v>
      </c>
      <c r="E59" s="71">
        <f>IF(B59&lt;=YEAR('I. Assumptions'!$E$24), 0, 'I. Assumptions'!$E$16)</f>
        <v>10000000</v>
      </c>
      <c r="F59" s="71">
        <f>(C59-D59)*'I. Assumptions'!$E$17</f>
        <v>22113318.932061013</v>
      </c>
      <c r="G59" s="73">
        <f t="shared" si="4"/>
        <v>84272570.184049606</v>
      </c>
      <c r="H59" s="72">
        <f>'V. Debt Cvrg - Concessionaire'!H56</f>
        <v>0</v>
      </c>
      <c r="I59" s="71">
        <f>(C59-D59)*'I. Assumptions'!$E$18</f>
        <v>5819294.4558055298</v>
      </c>
      <c r="J59" s="71">
        <f>'VII. Tax'!S54</f>
        <v>27458646.504885416</v>
      </c>
      <c r="K59" s="71"/>
      <c r="L59" s="71">
        <f t="shared" si="3"/>
        <v>50994629.223358661</v>
      </c>
      <c r="M59" s="71">
        <f t="shared" si="2"/>
        <v>50994629.223358661</v>
      </c>
    </row>
    <row r="60" spans="2:13">
      <c r="B60" s="177">
        <f>'Data Input'!B58</f>
        <v>2065</v>
      </c>
      <c r="C60" s="71">
        <f>'Data Input'!C58</f>
        <v>367727927.69703192</v>
      </c>
      <c r="D60" s="71">
        <f>'Data Input'!D58</f>
        <v>251342038.58092132</v>
      </c>
      <c r="E60" s="71">
        <f>IF(B60&lt;=YEAR('I. Assumptions'!$E$24), 0, 'I. Assumptions'!$E$16)</f>
        <v>10000000</v>
      </c>
      <c r="F60" s="71">
        <f>(C60-D60)*'I. Assumptions'!$E$17</f>
        <v>22113318.932061013</v>
      </c>
      <c r="G60" s="73">
        <f t="shared" si="4"/>
        <v>84272570.184049606</v>
      </c>
      <c r="H60" s="72">
        <f>'V. Debt Cvrg - Concessionaire'!H57</f>
        <v>0</v>
      </c>
      <c r="I60" s="71">
        <f>(C60-D60)*'I. Assumptions'!$E$18</f>
        <v>5819294.4558055298</v>
      </c>
      <c r="J60" s="71">
        <f>'VII. Tax'!S55</f>
        <v>27458646.504885416</v>
      </c>
      <c r="K60" s="71"/>
      <c r="L60" s="71">
        <f t="shared" si="3"/>
        <v>50994629.223358661</v>
      </c>
      <c r="M60" s="71">
        <f t="shared" si="2"/>
        <v>50994629.223358661</v>
      </c>
    </row>
    <row r="61" spans="2:13">
      <c r="B61" s="192">
        <f>'Data Input'!B59</f>
        <v>2066</v>
      </c>
      <c r="C61" s="75">
        <f>'Data Input'!C59</f>
        <v>367727927.69703192</v>
      </c>
      <c r="D61" s="75">
        <f>'Data Input'!D59</f>
        <v>251342038.58092132</v>
      </c>
      <c r="E61" s="75">
        <f>IF(B61&lt;=YEAR('I. Assumptions'!$E$24), 0, 'I. Assumptions'!$E$16)</f>
        <v>10000000</v>
      </c>
      <c r="F61" s="75">
        <f>(C61-D61)*'I. Assumptions'!$E$17</f>
        <v>22113318.932061013</v>
      </c>
      <c r="G61" s="78">
        <f t="shared" si="4"/>
        <v>84272570.184049606</v>
      </c>
      <c r="H61" s="58"/>
      <c r="I61" s="75">
        <f>(C61-D61)*'I. Assumptions'!$E$18</f>
        <v>5819294.4558055298</v>
      </c>
      <c r="J61" s="75">
        <f>'VII. Tax'!S56</f>
        <v>27458646.504885416</v>
      </c>
      <c r="K61" s="75"/>
      <c r="L61" s="75">
        <f>G61-SUM(H61:J61)+'II. S&amp;U'!H16</f>
        <v>128994629.22335866</v>
      </c>
      <c r="M61" s="75">
        <f t="shared" si="2"/>
        <v>128994629.22335866</v>
      </c>
    </row>
    <row r="62" spans="2:13">
      <c r="B62" s="2" t="s">
        <v>5</v>
      </c>
      <c r="C62" s="116">
        <f t="shared" ref="C62:M62" si="5">SUM(C10:C61)</f>
        <v>13564564361.165751</v>
      </c>
      <c r="D62" s="116">
        <f t="shared" si="5"/>
        <v>9271379740.8567963</v>
      </c>
      <c r="E62" s="116">
        <f t="shared" si="5"/>
        <v>480000000</v>
      </c>
      <c r="F62" s="116">
        <f t="shared" si="5"/>
        <v>815705077.85870242</v>
      </c>
      <c r="G62" s="116">
        <f t="shared" si="5"/>
        <v>2997479542.4502606</v>
      </c>
      <c r="H62" s="116">
        <f t="shared" si="5"/>
        <v>280946021.30000001</v>
      </c>
      <c r="I62" s="116">
        <f t="shared" si="5"/>
        <v>214659231.01544827</v>
      </c>
      <c r="J62" s="116">
        <f t="shared" si="5"/>
        <v>848356001.54718447</v>
      </c>
      <c r="K62" s="116">
        <f t="shared" si="5"/>
        <v>104000000</v>
      </c>
      <c r="L62" s="116">
        <f t="shared" si="5"/>
        <v>1731518288.5876279</v>
      </c>
      <c r="M62" s="116">
        <f t="shared" si="5"/>
        <v>1653518288.5876279</v>
      </c>
    </row>
    <row r="63" spans="2:13"/>
    <row r="64" spans="2:13">
      <c r="B64" s="134" t="s">
        <v>60</v>
      </c>
      <c r="C64" s="130"/>
      <c r="D64" s="130"/>
      <c r="G64" s="130"/>
      <c r="H64" s="130"/>
      <c r="I64" s="130"/>
      <c r="J64" s="130"/>
      <c r="L64" s="130"/>
    </row>
    <row r="65" spans="2:12">
      <c r="B65" s="134" t="s">
        <v>147</v>
      </c>
      <c r="C65" s="130"/>
      <c r="D65" s="130"/>
      <c r="G65" s="130"/>
      <c r="H65" s="130"/>
      <c r="I65" s="130"/>
      <c r="J65" s="130"/>
      <c r="L65" s="130"/>
    </row>
    <row r="66" spans="2:12"/>
    <row r="67" spans="2:12">
      <c r="G67" s="116"/>
    </row>
    <row r="68" spans="2:12">
      <c r="J68" s="116"/>
      <c r="K68" s="116"/>
    </row>
    <row r="69" spans="2:12"/>
  </sheetData>
  <mergeCells count="5">
    <mergeCell ref="C7:C9"/>
    <mergeCell ref="D7:D9"/>
    <mergeCell ref="E7:E9"/>
    <mergeCell ref="F7:F9"/>
    <mergeCell ref="B7:B9"/>
  </mergeCells>
  <printOptions horizontalCentered="1"/>
  <pageMargins left="0.7" right="0.7" top="0.75" bottom="0.75" header="0.3" footer="0.3"/>
  <pageSetup scale="63" orientation="landscape" r:id="rId1"/>
  <headerFooter scaleWithDoc="0">
    <oddFooter xml:space="preserve">&amp;L&amp;"Arial,Regular"&amp;7Port Concession Evaluation Model&amp;R&amp;"Arial,Regular"&amp;7Copyright Public Financial Management, Inc.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8" tint="0.59999389629810485"/>
    <pageSetUpPr autoPageBreaks="0" fitToPage="1"/>
  </sheetPr>
  <dimension ref="A1:O61"/>
  <sheetViews>
    <sheetView tabSelected="1" zoomScaleNormal="100" workbookViewId="0">
      <selection activeCell="B1" sqref="B1"/>
    </sheetView>
  </sheetViews>
  <sheetFormatPr defaultColWidth="0" defaultRowHeight="13.2" zeroHeight="1"/>
  <cols>
    <col min="1" max="1" width="9.375" style="1" customWidth="1"/>
    <col min="2" max="2" width="10.375" style="2" customWidth="1"/>
    <col min="3" max="3" width="15" style="1" customWidth="1"/>
    <col min="4" max="4" width="18.875" style="1" customWidth="1"/>
    <col min="5" max="5" width="17.5" style="1" customWidth="1"/>
    <col min="6" max="6" width="16.375" style="1" customWidth="1"/>
    <col min="7" max="7" width="14.875" style="1" customWidth="1"/>
    <col min="8" max="8" width="18.625" style="2" customWidth="1"/>
    <col min="9" max="9" width="16.5" style="130" customWidth="1"/>
    <col min="10" max="10" width="17.625" style="130" customWidth="1"/>
    <col min="11" max="11" width="17" style="130" customWidth="1"/>
    <col min="12" max="15" width="9.375" style="1" customWidth="1"/>
    <col min="16" max="16384" width="9.375" style="1" hidden="1"/>
  </cols>
  <sheetData>
    <row r="1" spans="2:11"/>
    <row r="2" spans="2:11" ht="13.8">
      <c r="B2" s="6" t="str">
        <f>"IV. Cash Flow - "&amp;TEXT('I. Assumptions'!E7,"General")</f>
        <v>IV. Cash Flow - AAPA Port Authority</v>
      </c>
    </row>
    <row r="3" spans="2:11" ht="13.8">
      <c r="B3" s="6"/>
    </row>
    <row r="4" spans="2:11" ht="17.25" customHeight="1">
      <c r="B4" s="252" t="s">
        <v>0</v>
      </c>
      <c r="C4" s="250" t="s">
        <v>9</v>
      </c>
      <c r="D4" s="250"/>
      <c r="E4" s="250"/>
      <c r="F4" s="251"/>
      <c r="G4" s="239" t="s">
        <v>52</v>
      </c>
      <c r="H4" s="254" t="s">
        <v>48</v>
      </c>
      <c r="I4" s="248" t="s">
        <v>30</v>
      </c>
      <c r="J4" s="249"/>
      <c r="K4" s="254" t="s">
        <v>58</v>
      </c>
    </row>
    <row r="5" spans="2:11" ht="42" customHeight="1">
      <c r="B5" s="253"/>
      <c r="C5" s="104" t="s">
        <v>88</v>
      </c>
      <c r="D5" s="104" t="s">
        <v>113</v>
      </c>
      <c r="E5" s="104" t="s">
        <v>114</v>
      </c>
      <c r="F5" s="103" t="s">
        <v>43</v>
      </c>
      <c r="G5" s="241"/>
      <c r="H5" s="255"/>
      <c r="I5" s="132" t="s">
        <v>41</v>
      </c>
      <c r="J5" s="132" t="s">
        <v>55</v>
      </c>
      <c r="K5" s="255"/>
    </row>
    <row r="6" spans="2:11">
      <c r="B6" s="177">
        <f>'III. CF - Concessionaire'!B10</f>
        <v>2015</v>
      </c>
      <c r="C6" s="73">
        <f>'Data Input'!G8</f>
        <v>44270858.702151798</v>
      </c>
      <c r="D6" s="73">
        <f>'III. CF - Concessionaire'!E10</f>
        <v>0</v>
      </c>
      <c r="E6" s="73">
        <f>'III. CF - Concessionaire'!F10</f>
        <v>638385.13687381195</v>
      </c>
      <c r="F6" s="74">
        <f>SUM(C6:E6)</f>
        <v>44909243.839025609</v>
      </c>
      <c r="G6" s="71">
        <f>'Data Input'!H8</f>
        <v>22135429.351075899</v>
      </c>
      <c r="H6" s="74">
        <f>F6-G6</f>
        <v>22773814.48794971</v>
      </c>
      <c r="I6" s="74">
        <f>IFERROR(VLOOKUP(B6, 'VI. Debt Cvrg - Public Entity'!$C$8:$O$39, COLUMNS('VI. Debt Cvrg - Public Entity'!$C$8:$O$39), 0), 0)</f>
        <v>13489823.73</v>
      </c>
      <c r="J6" s="74">
        <f>IFERROR(VLOOKUP(B6, 'VI. Debt Cvrg - Public Entity'!$C$8:$V$39, COLUMNS('VI. Debt Cvrg - Public Entity'!$C$8:$V$39), 0), 0)</f>
        <v>5098326.26</v>
      </c>
      <c r="K6" s="71">
        <f t="shared" ref="K6:K34" si="0">H6-SUM(I6:J6)</f>
        <v>4185664.4979497083</v>
      </c>
    </row>
    <row r="7" spans="2:11">
      <c r="B7" s="177">
        <f>'III. CF - Concessionaire'!B11</f>
        <v>2016</v>
      </c>
      <c r="C7" s="73">
        <f>'Data Input'!G9</f>
        <v>46046626.889344297</v>
      </c>
      <c r="D7" s="73">
        <f>'III. CF - Concessionaire'!E11</f>
        <v>0</v>
      </c>
      <c r="E7" s="73">
        <f>'III. CF - Concessionaire'!F11</f>
        <v>1617242.5542044814</v>
      </c>
      <c r="F7" s="74">
        <f t="shared" ref="F7:F37" si="1">SUM(C7:E7)</f>
        <v>47663869.443548776</v>
      </c>
      <c r="G7" s="71">
        <f>'Data Input'!H9</f>
        <v>23023313.444672149</v>
      </c>
      <c r="H7" s="74">
        <f t="shared" ref="H7:H34" si="2">F7-G7</f>
        <v>24640555.998876628</v>
      </c>
      <c r="I7" s="74">
        <f>IFERROR(VLOOKUP(B7, 'VI. Debt Cvrg - Public Entity'!$C$8:$O$39, COLUMNS('VI. Debt Cvrg - Public Entity'!$C$8:$O$39), 0), 0)</f>
        <v>13580527.149999999</v>
      </c>
      <c r="J7" s="74">
        <f>IFERROR(VLOOKUP(B7, 'VI. Debt Cvrg - Public Entity'!$C$8:$V$39, COLUMNS('VI. Debt Cvrg - Public Entity'!$C$8:$V$39), 0), 0)</f>
        <v>5098326.26</v>
      </c>
      <c r="K7" s="71">
        <f t="shared" si="0"/>
        <v>5961702.5888766311</v>
      </c>
    </row>
    <row r="8" spans="2:11">
      <c r="B8" s="177">
        <f>'III. CF - Concessionaire'!B12</f>
        <v>2017</v>
      </c>
      <c r="C8" s="73">
        <f>'Data Input'!G10</f>
        <v>47084315.438898563</v>
      </c>
      <c r="D8" s="73">
        <f>'III. CF - Concessionaire'!E12</f>
        <v>0</v>
      </c>
      <c r="E8" s="73">
        <f>'III. CF - Concessionaire'!F12</f>
        <v>1892053.4029375156</v>
      </c>
      <c r="F8" s="74">
        <f t="shared" si="1"/>
        <v>48976368.84183608</v>
      </c>
      <c r="G8" s="71">
        <f>'Data Input'!H10</f>
        <v>23542157.719449282</v>
      </c>
      <c r="H8" s="74">
        <f t="shared" si="2"/>
        <v>25434211.122386798</v>
      </c>
      <c r="I8" s="74">
        <f>IFERROR(VLOOKUP(B8, 'VI. Debt Cvrg - Public Entity'!$C$8:$O$39, COLUMNS('VI. Debt Cvrg - Public Entity'!$C$8:$O$39), 0), 0)</f>
        <v>13678195.670000002</v>
      </c>
      <c r="J8" s="74">
        <f>IFERROR(VLOOKUP(B8, 'VI. Debt Cvrg - Public Entity'!$C$8:$V$39, COLUMNS('VI. Debt Cvrg - Public Entity'!$C$8:$V$39), 0), 0)</f>
        <v>5098326.26</v>
      </c>
      <c r="K8" s="71">
        <f t="shared" si="0"/>
        <v>6657689.1923867986</v>
      </c>
    </row>
    <row r="9" spans="2:11">
      <c r="B9" s="177">
        <f>'III. CF - Concessionaire'!B13</f>
        <v>2018</v>
      </c>
      <c r="C9" s="73">
        <f>'Data Input'!G11</f>
        <v>49487395.741311103</v>
      </c>
      <c r="D9" s="73">
        <f>'III. CF - Concessionaire'!E13</f>
        <v>0</v>
      </c>
      <c r="E9" s="73">
        <f>'III. CF - Concessionaire'!F13</f>
        <v>2185638.2296125963</v>
      </c>
      <c r="F9" s="74">
        <f t="shared" si="1"/>
        <v>51673033.970923699</v>
      </c>
      <c r="G9" s="71">
        <f>'Data Input'!H11</f>
        <v>24743697.870655552</v>
      </c>
      <c r="H9" s="74">
        <f t="shared" si="2"/>
        <v>26929336.100268148</v>
      </c>
      <c r="I9" s="74">
        <f>IFERROR(VLOOKUP(B9, 'VI. Debt Cvrg - Public Entity'!$C$8:$O$39, COLUMNS('VI. Debt Cvrg - Public Entity'!$C$8:$O$39), 0), 0)</f>
        <v>13793934.220000001</v>
      </c>
      <c r="J9" s="74">
        <f>IFERROR(VLOOKUP(B9, 'VI. Debt Cvrg - Public Entity'!$C$8:$V$39, COLUMNS('VI. Debt Cvrg - Public Entity'!$C$8:$V$39), 0), 0)</f>
        <v>5098326.26</v>
      </c>
      <c r="K9" s="71">
        <f t="shared" si="0"/>
        <v>8037075.6202681474</v>
      </c>
    </row>
    <row r="10" spans="2:11">
      <c r="B10" s="177">
        <f>'III. CF - Concessionaire'!B14</f>
        <v>2019</v>
      </c>
      <c r="C10" s="73">
        <f>'Data Input'!G12</f>
        <v>52027409.688198842</v>
      </c>
      <c r="D10" s="73">
        <f>'III. CF - Concessionaire'!E14</f>
        <v>10000000</v>
      </c>
      <c r="E10" s="73">
        <f>'III. CF - Concessionaire'!F14</f>
        <v>5506029.5973068113</v>
      </c>
      <c r="F10" s="74">
        <f t="shared" si="1"/>
        <v>67533439.285505652</v>
      </c>
      <c r="G10" s="71">
        <f>'Data Input'!H12</f>
        <v>26013704.844099421</v>
      </c>
      <c r="H10" s="74">
        <f t="shared" si="2"/>
        <v>41519734.441406235</v>
      </c>
      <c r="I10" s="74">
        <f>IFERROR(VLOOKUP(B10, 'VI. Debt Cvrg - Public Entity'!$C$8:$O$39, COLUMNS('VI. Debt Cvrg - Public Entity'!$C$8:$O$39), 0), 0)</f>
        <v>14393059.210000001</v>
      </c>
      <c r="J10" s="74">
        <f>IFERROR(VLOOKUP(B10, 'VI. Debt Cvrg - Public Entity'!$C$8:$V$39, COLUMNS('VI. Debt Cvrg - Public Entity'!$C$8:$V$39), 0), 0)</f>
        <v>5098326.26</v>
      </c>
      <c r="K10" s="71">
        <f t="shared" si="0"/>
        <v>22028348.971406236</v>
      </c>
    </row>
    <row r="11" spans="2:11">
      <c r="B11" s="177">
        <f>'III. CF - Concessionaire'!B15</f>
        <v>2020</v>
      </c>
      <c r="C11" s="73">
        <f>'Data Input'!G13</f>
        <v>54712992.565184943</v>
      </c>
      <c r="D11" s="73">
        <f>'III. CF - Concessionaire'!E15</f>
        <v>10000000</v>
      </c>
      <c r="E11" s="73">
        <f>'III. CF - Concessionaire'!F15</f>
        <v>5841097.6886764178</v>
      </c>
      <c r="F11" s="74">
        <f t="shared" si="1"/>
        <v>70554090.253861368</v>
      </c>
      <c r="G11" s="71">
        <f>'Data Input'!H13</f>
        <v>27356496.282592472</v>
      </c>
      <c r="H11" s="74">
        <f t="shared" si="2"/>
        <v>43197593.971268892</v>
      </c>
      <c r="I11" s="74">
        <f>IFERROR(VLOOKUP(B11, 'VI. Debt Cvrg - Public Entity'!$C$8:$O$39, COLUMNS('VI. Debt Cvrg - Public Entity'!$C$8:$O$39), 0), 0)</f>
        <v>26778353.780000001</v>
      </c>
      <c r="J11" s="74">
        <f>IFERROR(VLOOKUP(B11, 'VI. Debt Cvrg - Public Entity'!$C$8:$V$39, COLUMNS('VI. Debt Cvrg - Public Entity'!$C$8:$V$39), 0), 0)</f>
        <v>8471257.5</v>
      </c>
      <c r="K11" s="71">
        <f t="shared" si="0"/>
        <v>7947982.6912688911</v>
      </c>
    </row>
    <row r="12" spans="2:11">
      <c r="B12" s="177">
        <f>'III. CF - Concessionaire'!B16</f>
        <v>2021</v>
      </c>
      <c r="C12" s="73">
        <f>'Data Input'!G14</f>
        <v>57483796.935715713</v>
      </c>
      <c r="D12" s="73">
        <f>'III. CF - Concessionaire'!E16</f>
        <v>10000000</v>
      </c>
      <c r="E12" s="73">
        <f>'III. CF - Concessionaire'!F16</f>
        <v>6199056.2917759866</v>
      </c>
      <c r="F12" s="74">
        <f t="shared" si="1"/>
        <v>73682853.227491692</v>
      </c>
      <c r="G12" s="71">
        <f>'Data Input'!H14</f>
        <v>28741898.467857856</v>
      </c>
      <c r="H12" s="74">
        <f t="shared" si="2"/>
        <v>44940954.759633839</v>
      </c>
      <c r="I12" s="74">
        <f>IFERROR(VLOOKUP(B12, 'VI. Debt Cvrg - Public Entity'!$C$8:$O$39, COLUMNS('VI. Debt Cvrg - Public Entity'!$C$8:$O$39), 0), 0)</f>
        <v>22234208.41</v>
      </c>
      <c r="J12" s="74">
        <f>IFERROR(VLOOKUP(B12, 'VI. Debt Cvrg - Public Entity'!$C$8:$V$39, COLUMNS('VI. Debt Cvrg - Public Entity'!$C$8:$V$39), 0), 0)</f>
        <v>8469282.5099999998</v>
      </c>
      <c r="K12" s="71">
        <f t="shared" si="0"/>
        <v>14237463.839633837</v>
      </c>
    </row>
    <row r="13" spans="2:11">
      <c r="B13" s="177">
        <f>'III. CF - Concessionaire'!B17</f>
        <v>2022</v>
      </c>
      <c r="C13" s="73">
        <f>'Data Input'!G15</f>
        <v>60408107.292263158</v>
      </c>
      <c r="D13" s="73">
        <f>'III. CF - Concessionaire'!E17</f>
        <v>10000000</v>
      </c>
      <c r="E13" s="73">
        <f>'III. CF - Concessionaire'!F17</f>
        <v>6581469.1948049841</v>
      </c>
      <c r="F13" s="74">
        <f t="shared" si="1"/>
        <v>76989576.487068132</v>
      </c>
      <c r="G13" s="71">
        <f>'Data Input'!H15</f>
        <v>30204053.646131579</v>
      </c>
      <c r="H13" s="74">
        <f t="shared" si="2"/>
        <v>46785522.840936556</v>
      </c>
      <c r="I13" s="74">
        <f>IFERROR(VLOOKUP(B13, 'VI. Debt Cvrg - Public Entity'!$C$8:$O$39, COLUMNS('VI. Debt Cvrg - Public Entity'!$C$8:$O$39), 0), 0)</f>
        <v>22234565.34</v>
      </c>
      <c r="J13" s="74">
        <f>IFERROR(VLOOKUP(B13, 'VI. Debt Cvrg - Public Entity'!$C$8:$V$39, COLUMNS('VI. Debt Cvrg - Public Entity'!$C$8:$V$39), 0), 0)</f>
        <v>8469551.25</v>
      </c>
      <c r="K13" s="71">
        <f t="shared" si="0"/>
        <v>16081406.250936557</v>
      </c>
    </row>
    <row r="14" spans="2:11">
      <c r="B14" s="177">
        <f>'III. CF - Concessionaire'!B18</f>
        <v>2023</v>
      </c>
      <c r="C14" s="73">
        <f>'Data Input'!G16</f>
        <v>63495113.883416824</v>
      </c>
      <c r="D14" s="73">
        <f>'III. CF - Concessionaire'!E18</f>
        <v>10000000</v>
      </c>
      <c r="E14" s="73">
        <f>'III. CF - Concessionaire'!F18</f>
        <v>6749467.0177173205</v>
      </c>
      <c r="F14" s="74">
        <f t="shared" si="1"/>
        <v>80244580.901134148</v>
      </c>
      <c r="G14" s="71">
        <f>'Data Input'!H16</f>
        <v>31747556.941708412</v>
      </c>
      <c r="H14" s="74">
        <f t="shared" si="2"/>
        <v>48497023.959425732</v>
      </c>
      <c r="I14" s="74">
        <f>IFERROR(VLOOKUP(B14, 'VI. Debt Cvrg - Public Entity'!$C$8:$O$39, COLUMNS('VI. Debt Cvrg - Public Entity'!$C$8:$O$39), 0), 0)</f>
        <v>22697669.780000001</v>
      </c>
      <c r="J14" s="74">
        <f>IFERROR(VLOOKUP(B14, 'VI. Debt Cvrg - Public Entity'!$C$8:$V$39, COLUMNS('VI. Debt Cvrg - Public Entity'!$C$8:$V$39), 0), 0)</f>
        <v>8995601.25</v>
      </c>
      <c r="K14" s="71">
        <f t="shared" si="0"/>
        <v>16803752.929425731</v>
      </c>
    </row>
    <row r="15" spans="2:11">
      <c r="B15" s="177">
        <f>'III. CF - Concessionaire'!B19</f>
        <v>2024</v>
      </c>
      <c r="C15" s="73">
        <f>'Data Input'!G17</f>
        <v>66754591.565925561</v>
      </c>
      <c r="D15" s="73">
        <f>'III. CF - Concessionaire'!E19</f>
        <v>10000000</v>
      </c>
      <c r="E15" s="73">
        <f>'III. CF - Concessionaire'!F19</f>
        <v>6825104.5105396844</v>
      </c>
      <c r="F15" s="74">
        <f t="shared" si="1"/>
        <v>83579696.076465249</v>
      </c>
      <c r="G15" s="71">
        <f>'Data Input'!H17</f>
        <v>33377295.78296278</v>
      </c>
      <c r="H15" s="74">
        <f t="shared" si="2"/>
        <v>50202400.293502465</v>
      </c>
      <c r="I15" s="74">
        <f>IFERROR(VLOOKUP(B15, 'VI. Debt Cvrg - Public Entity'!$C$8:$O$39, COLUMNS('VI. Debt Cvrg - Public Entity'!$C$8:$O$39), 0), 0)</f>
        <v>24997555.759999998</v>
      </c>
      <c r="J15" s="74">
        <f>IFERROR(VLOOKUP(B15, 'VI. Debt Cvrg - Public Entity'!$C$8:$V$39, COLUMNS('VI. Debt Cvrg - Public Entity'!$C$8:$V$39), 0), 0)</f>
        <v>8996251.25</v>
      </c>
      <c r="K15" s="71">
        <f t="shared" si="0"/>
        <v>16208593.283502467</v>
      </c>
    </row>
    <row r="16" spans="2:11">
      <c r="B16" s="177">
        <f>'III. CF - Concessionaire'!B20</f>
        <v>2025</v>
      </c>
      <c r="C16" s="73">
        <f>'Data Input'!G18</f>
        <v>70127268.755186081</v>
      </c>
      <c r="D16" s="73">
        <f>'III. CF - Concessionaire'!E20</f>
        <v>10000000</v>
      </c>
      <c r="E16" s="73">
        <f>'III. CF - Concessionaire'!F20</f>
        <v>7291368.3502817145</v>
      </c>
      <c r="F16" s="74">
        <f t="shared" si="1"/>
        <v>87418637.105467796</v>
      </c>
      <c r="G16" s="71">
        <f>'Data Input'!H18</f>
        <v>35063634.37759304</v>
      </c>
      <c r="H16" s="74">
        <f t="shared" si="2"/>
        <v>52355002.727874756</v>
      </c>
      <c r="I16" s="74">
        <f>IFERROR(VLOOKUP(B16, 'VI. Debt Cvrg - Public Entity'!$C$8:$O$39, COLUMNS('VI. Debt Cvrg - Public Entity'!$C$8:$O$39), 0), 0)</f>
        <v>24995988.329999998</v>
      </c>
      <c r="J16" s="74">
        <f>IFERROR(VLOOKUP(B16, 'VI. Debt Cvrg - Public Entity'!$C$8:$V$39, COLUMNS('VI. Debt Cvrg - Public Entity'!$C$8:$V$39), 0), 0)</f>
        <v>8996520.0099999998</v>
      </c>
      <c r="K16" s="71">
        <f t="shared" si="0"/>
        <v>18362494.38787476</v>
      </c>
    </row>
    <row r="17" spans="2:11">
      <c r="B17" s="177">
        <f>'III. CF - Concessionaire'!B21</f>
        <v>2026</v>
      </c>
      <c r="C17" s="73">
        <f>'Data Input'!G19</f>
        <v>73569329.846874401</v>
      </c>
      <c r="D17" s="73">
        <f>'III. CF - Concessionaire'!E21</f>
        <v>10000000</v>
      </c>
      <c r="E17" s="73">
        <f>'III. CF - Concessionaire'!F21</f>
        <v>7789485.4704995593</v>
      </c>
      <c r="F17" s="74">
        <f t="shared" si="1"/>
        <v>91358815.317373961</v>
      </c>
      <c r="G17" s="71">
        <f>'Data Input'!H19</f>
        <v>36784664.9234372</v>
      </c>
      <c r="H17" s="74">
        <f t="shared" si="2"/>
        <v>54574150.393936761</v>
      </c>
      <c r="I17" s="74">
        <f>IFERROR(VLOOKUP(B17, 'VI. Debt Cvrg - Public Entity'!$C$8:$O$39, COLUMNS('VI. Debt Cvrg - Public Entity'!$C$8:$O$39), 0), 0)</f>
        <v>24995544.149999999</v>
      </c>
      <c r="J17" s="74">
        <f>IFERROR(VLOOKUP(B17, 'VI. Debt Cvrg - Public Entity'!$C$8:$V$39, COLUMNS('VI. Debt Cvrg - Public Entity'!$C$8:$V$39), 0), 0)</f>
        <v>8996126.2599999998</v>
      </c>
      <c r="K17" s="71">
        <f t="shared" si="0"/>
        <v>20582479.983936764</v>
      </c>
    </row>
    <row r="18" spans="2:11">
      <c r="B18" s="177">
        <f>'III. CF - Concessionaire'!B22</f>
        <v>2027</v>
      </c>
      <c r="C18" s="73">
        <f>'Data Input'!G20</f>
        <v>77191355.92078419</v>
      </c>
      <c r="D18" s="73">
        <f>'III. CF - Concessionaire'!E22</f>
        <v>10000000</v>
      </c>
      <c r="E18" s="73">
        <f>'III. CF - Concessionaire'!F22</f>
        <v>8321631.9599022083</v>
      </c>
      <c r="F18" s="74">
        <f t="shared" si="1"/>
        <v>95512987.880686402</v>
      </c>
      <c r="G18" s="71">
        <f>'Data Input'!H20</f>
        <v>38595677.960392095</v>
      </c>
      <c r="H18" s="74">
        <f t="shared" si="2"/>
        <v>56917309.920294307</v>
      </c>
      <c r="I18" s="74">
        <f>IFERROR(VLOOKUP(B18, 'VI. Debt Cvrg - Public Entity'!$C$8:$O$39, COLUMNS('VI. Debt Cvrg - Public Entity'!$C$8:$O$39), 0), 0)</f>
        <v>24991428.800000001</v>
      </c>
      <c r="J18" s="74">
        <f>IFERROR(VLOOKUP(B18, 'VI. Debt Cvrg - Public Entity'!$C$8:$V$39, COLUMNS('VI. Debt Cvrg - Public Entity'!$C$8:$V$39), 0), 0)</f>
        <v>8999638.7599999998</v>
      </c>
      <c r="K18" s="71">
        <f t="shared" si="0"/>
        <v>22926242.360294305</v>
      </c>
    </row>
    <row r="19" spans="2:11">
      <c r="B19" s="177">
        <f>'III. CF - Concessionaire'!B23</f>
        <v>2028</v>
      </c>
      <c r="C19" s="73">
        <f>'Data Input'!G21</f>
        <v>81003288.754543155</v>
      </c>
      <c r="D19" s="73">
        <f>'III. CF - Concessionaire'!E23</f>
        <v>10000000</v>
      </c>
      <c r="E19" s="73">
        <f>'III. CF - Concessionaire'!F23</f>
        <v>8890132.5688748844</v>
      </c>
      <c r="F19" s="74">
        <f t="shared" si="1"/>
        <v>99893421.323418036</v>
      </c>
      <c r="G19" s="71">
        <f>'Data Input'!H21</f>
        <v>40501644.377271578</v>
      </c>
      <c r="H19" s="74">
        <f t="shared" si="2"/>
        <v>59391776.946146458</v>
      </c>
      <c r="I19" s="74">
        <f>IFERROR(VLOOKUP(B19, 'VI. Debt Cvrg - Public Entity'!$C$8:$O$39, COLUMNS('VI. Debt Cvrg - Public Entity'!$C$8:$O$39), 0), 0)</f>
        <v>24993274.710000001</v>
      </c>
      <c r="J19" s="74">
        <f>IFERROR(VLOOKUP(B19, 'VI. Debt Cvrg - Public Entity'!$C$8:$V$39, COLUMNS('VI. Debt Cvrg - Public Entity'!$C$8:$V$39), 0), 0)</f>
        <v>8996795.0099999998</v>
      </c>
      <c r="K19" s="71">
        <f t="shared" si="0"/>
        <v>25401707.22614646</v>
      </c>
    </row>
    <row r="20" spans="2:11">
      <c r="B20" s="177">
        <f>'III. CF - Concessionaire'!B24</f>
        <v>2029</v>
      </c>
      <c r="C20" s="73">
        <f>'Data Input'!G22</f>
        <v>85015645.098994568</v>
      </c>
      <c r="D20" s="73">
        <f>'III. CF - Concessionaire'!E24</f>
        <v>10000000</v>
      </c>
      <c r="E20" s="73">
        <f>'III. CF - Concessionaire'!F24</f>
        <v>9497470.8654501401</v>
      </c>
      <c r="F20" s="74">
        <f t="shared" si="1"/>
        <v>104513115.96444471</v>
      </c>
      <c r="G20" s="71">
        <f>'Data Input'!H22</f>
        <v>42507822.549497284</v>
      </c>
      <c r="H20" s="74">
        <f t="shared" si="2"/>
        <v>62005293.414947428</v>
      </c>
      <c r="I20" s="74">
        <f>IFERROR(VLOOKUP(B20, 'VI. Debt Cvrg - Public Entity'!$C$8:$O$39, COLUMNS('VI. Debt Cvrg - Public Entity'!$C$8:$O$39), 0), 0)</f>
        <v>24997141.890000001</v>
      </c>
      <c r="J20" s="74">
        <f>IFERROR(VLOOKUP(B20, 'VI. Debt Cvrg - Public Entity'!$C$8:$V$39, COLUMNS('VI. Debt Cvrg - Public Entity'!$C$8:$V$39), 0), 0)</f>
        <v>8997332.5099999998</v>
      </c>
      <c r="K20" s="71">
        <f t="shared" si="0"/>
        <v>28010819.014947429</v>
      </c>
    </row>
    <row r="21" spans="2:11">
      <c r="B21" s="177">
        <f>'III. CF - Concessionaire'!B25</f>
        <v>2030</v>
      </c>
      <c r="C21" s="73">
        <f>'Data Input'!G23</f>
        <v>89239551.181792364</v>
      </c>
      <c r="D21" s="73">
        <f>'III. CF - Concessionaire'!E25</f>
        <v>10000000</v>
      </c>
      <c r="E21" s="73">
        <f>'III. CF - Concessionaire'!F25</f>
        <v>10146300.085094234</v>
      </c>
      <c r="F21" s="74">
        <f t="shared" si="1"/>
        <v>109385851.26688659</v>
      </c>
      <c r="G21" s="71">
        <f>'Data Input'!H23</f>
        <v>44619775.590896182</v>
      </c>
      <c r="H21" s="74">
        <f t="shared" si="2"/>
        <v>64766075.67599041</v>
      </c>
      <c r="I21" s="74">
        <f>IFERROR(VLOOKUP(B21, 'VI. Debt Cvrg - Public Entity'!$C$8:$O$39, COLUMNS('VI. Debt Cvrg - Public Entity'!$C$8:$O$39), 0), 0)</f>
        <v>24996949.079999998</v>
      </c>
      <c r="J21" s="74">
        <f>IFERROR(VLOOKUP(B21, 'VI. Debt Cvrg - Public Entity'!$C$8:$V$39, COLUMNS('VI. Debt Cvrg - Public Entity'!$C$8:$V$39), 0), 0)</f>
        <v>8995838.7599999998</v>
      </c>
      <c r="K21" s="71">
        <f t="shared" si="0"/>
        <v>30773287.835990414</v>
      </c>
    </row>
    <row r="22" spans="2:11">
      <c r="B22" s="177">
        <f>'III. CF - Concessionaire'!B26</f>
        <v>2031</v>
      </c>
      <c r="C22" s="73">
        <f>'Data Input'!G24</f>
        <v>93686779.342723921</v>
      </c>
      <c r="D22" s="73">
        <f>'III. CF - Concessionaire'!E26</f>
        <v>10000000</v>
      </c>
      <c r="E22" s="73">
        <f>'III. CF - Concessionaire'!F26</f>
        <v>10839454.721707532</v>
      </c>
      <c r="F22" s="74">
        <f t="shared" si="1"/>
        <v>114526234.06443146</v>
      </c>
      <c r="G22" s="71">
        <f>'Data Input'!H24</f>
        <v>46843389.67136196</v>
      </c>
      <c r="H22" s="74">
        <f t="shared" si="2"/>
        <v>67682844.393069506</v>
      </c>
      <c r="I22" s="74">
        <f>IFERROR(VLOOKUP(B22, 'VI. Debt Cvrg - Public Entity'!$C$8:$O$39, COLUMNS('VI. Debt Cvrg - Public Entity'!$C$8:$O$39), 0), 0)</f>
        <v>24993837.23</v>
      </c>
      <c r="J22" s="74">
        <f>IFERROR(VLOOKUP(B22, 'VI. Debt Cvrg - Public Entity'!$C$8:$V$39, COLUMNS('VI. Debt Cvrg - Public Entity'!$C$8:$V$39), 0), 0)</f>
        <v>8996882.5</v>
      </c>
      <c r="K22" s="71">
        <f t="shared" si="0"/>
        <v>33692124.663069502</v>
      </c>
    </row>
    <row r="23" spans="2:11">
      <c r="B23" s="177">
        <f>'III. CF - Concessionaire'!B27</f>
        <v>2032</v>
      </c>
      <c r="C23" s="73">
        <f>'Data Input'!G25</f>
        <v>98369786.935502842</v>
      </c>
      <c r="D23" s="73">
        <f>'III. CF - Concessionaire'!E27</f>
        <v>10000000</v>
      </c>
      <c r="E23" s="73">
        <f>'III. CF - Concessionaire'!F27</f>
        <v>11579962.910475699</v>
      </c>
      <c r="F23" s="74">
        <f t="shared" si="1"/>
        <v>119949749.84597854</v>
      </c>
      <c r="G23" s="71">
        <f>'Data Input'!H25</f>
        <v>49184893.467751421</v>
      </c>
      <c r="H23" s="74">
        <f t="shared" si="2"/>
        <v>70764856.378227115</v>
      </c>
      <c r="I23" s="74">
        <f>IFERROR(VLOOKUP(B23, 'VI. Debt Cvrg - Public Entity'!$C$8:$O$39, COLUMNS('VI. Debt Cvrg - Public Entity'!$C$8:$O$39), 0), 0)</f>
        <v>24993100</v>
      </c>
      <c r="J23" s="74">
        <f>IFERROR(VLOOKUP(B23, 'VI. Debt Cvrg - Public Entity'!$C$8:$V$39, COLUMNS('VI. Debt Cvrg - Public Entity'!$C$8:$V$39), 0), 0)</f>
        <v>8995051.25</v>
      </c>
      <c r="K23" s="71">
        <f t="shared" si="0"/>
        <v>36776705.128227115</v>
      </c>
    </row>
    <row r="24" spans="2:11">
      <c r="B24" s="177">
        <f>'III. CF - Concessionaire'!B28</f>
        <v>2033</v>
      </c>
      <c r="C24" s="73">
        <f>'Data Input'!G26</f>
        <v>103301757.63944359</v>
      </c>
      <c r="D24" s="73">
        <f>'III. CF - Concessionaire'!E28</f>
        <v>10000000</v>
      </c>
      <c r="E24" s="73">
        <f>'III. CF - Concessionaire'!F28</f>
        <v>12371059.656667758</v>
      </c>
      <c r="F24" s="74">
        <f t="shared" si="1"/>
        <v>125672817.29611135</v>
      </c>
      <c r="G24" s="71">
        <f>'Data Input'!H26</f>
        <v>51650878.819721796</v>
      </c>
      <c r="H24" s="74">
        <f t="shared" si="2"/>
        <v>74021938.476389557</v>
      </c>
      <c r="I24" s="74">
        <f>IFERROR(VLOOKUP(B24, 'VI. Debt Cvrg - Public Entity'!$C$8:$O$39, COLUMNS('VI. Debt Cvrg - Public Entity'!$C$8:$O$39), 0), 0)</f>
        <v>24996103</v>
      </c>
      <c r="J24" s="74">
        <f>IFERROR(VLOOKUP(B24, 'VI. Debt Cvrg - Public Entity'!$C$8:$V$39, COLUMNS('VI. Debt Cvrg - Public Entity'!$C$8:$V$39), 0), 0)</f>
        <v>8999782.5099999998</v>
      </c>
      <c r="K24" s="71">
        <f t="shared" si="0"/>
        <v>40026052.966389559</v>
      </c>
    </row>
    <row r="25" spans="2:11">
      <c r="B25" s="177">
        <f>'III. CF - Concessionaire'!B29</f>
        <v>2034</v>
      </c>
      <c r="C25" s="73">
        <f>'Data Input'!G27</f>
        <v>107600390.25735271</v>
      </c>
      <c r="D25" s="73">
        <f>'III. CF - Concessionaire'!E29</f>
        <v>10000000</v>
      </c>
      <c r="E25" s="73">
        <f>'III. CF - Concessionaire'!F29</f>
        <v>13216200.968172669</v>
      </c>
      <c r="F25" s="74">
        <f t="shared" si="1"/>
        <v>130816591.22552538</v>
      </c>
      <c r="G25" s="71">
        <f>'Data Input'!H27</f>
        <v>53800195.128676355</v>
      </c>
      <c r="H25" s="74">
        <f t="shared" si="2"/>
        <v>77016396.096849024</v>
      </c>
      <c r="I25" s="74">
        <f>IFERROR(VLOOKUP(B25, 'VI. Debt Cvrg - Public Entity'!$C$8:$O$39, COLUMNS('VI. Debt Cvrg - Public Entity'!$C$8:$O$39), 0), 0)</f>
        <v>24997824</v>
      </c>
      <c r="J25" s="74">
        <f>IFERROR(VLOOKUP(B25, 'VI. Debt Cvrg - Public Entity'!$C$8:$V$39, COLUMNS('VI. Debt Cvrg - Public Entity'!$C$8:$V$39), 0), 0)</f>
        <v>8995663.75</v>
      </c>
      <c r="K25" s="71">
        <f t="shared" si="0"/>
        <v>43022908.346849024</v>
      </c>
    </row>
    <row r="26" spans="2:11">
      <c r="B26" s="177">
        <f>'III. CF - Concessionaire'!B30</f>
        <v>2035</v>
      </c>
      <c r="C26" s="73">
        <f>'Data Input'!G28</f>
        <v>112088823.27275477</v>
      </c>
      <c r="D26" s="73">
        <f>'III. CF - Concessionaire'!E30</f>
        <v>10000000</v>
      </c>
      <c r="E26" s="73">
        <f>'III. CF - Concessionaire'!F30</f>
        <v>14119078.953514356</v>
      </c>
      <c r="F26" s="74">
        <f t="shared" si="1"/>
        <v>136207902.22626913</v>
      </c>
      <c r="G26" s="71">
        <f>'Data Input'!H28</f>
        <v>56044411.636377387</v>
      </c>
      <c r="H26" s="74">
        <f t="shared" si="2"/>
        <v>80163490.589891732</v>
      </c>
      <c r="I26" s="74">
        <f>IFERROR(VLOOKUP(B26, 'VI. Debt Cvrg - Public Entity'!$C$8:$O$39, COLUMNS('VI. Debt Cvrg - Public Entity'!$C$8:$O$39), 0), 0)</f>
        <v>24994131</v>
      </c>
      <c r="J26" s="74">
        <f>IFERROR(VLOOKUP(B26, 'VI. Debt Cvrg - Public Entity'!$C$8:$V$39, COLUMNS('VI. Debt Cvrg - Public Entity'!$C$8:$V$39), 0), 0)</f>
        <v>8997301.25</v>
      </c>
      <c r="K26" s="71">
        <f t="shared" si="0"/>
        <v>46172058.339891732</v>
      </c>
    </row>
    <row r="27" spans="2:11">
      <c r="B27" s="177">
        <f>'III. CF - Concessionaire'!B31</f>
        <v>2036</v>
      </c>
      <c r="C27" s="73">
        <f>'Data Input'!G29</f>
        <v>116775917.26755449</v>
      </c>
      <c r="D27" s="73">
        <f>'III. CF - Concessionaire'!E31</f>
        <v>10000000</v>
      </c>
      <c r="E27" s="73">
        <f>'III. CF - Concessionaire'!F31</f>
        <v>15083637.951302638</v>
      </c>
      <c r="F27" s="74">
        <f t="shared" si="1"/>
        <v>141859555.21885714</v>
      </c>
      <c r="G27" s="71">
        <f>'Data Input'!H29</f>
        <v>58387958.633777246</v>
      </c>
      <c r="H27" s="74">
        <f t="shared" si="2"/>
        <v>83471596.585079893</v>
      </c>
      <c r="I27" s="74">
        <f>IFERROR(VLOOKUP(B27, 'VI. Debt Cvrg - Public Entity'!$C$8:$O$39, COLUMNS('VI. Debt Cvrg - Public Entity'!$C$8:$O$39), 0), 0)</f>
        <v>24994703</v>
      </c>
      <c r="J27" s="74">
        <f>IFERROR(VLOOKUP(B27, 'VI. Debt Cvrg - Public Entity'!$C$8:$V$39, COLUMNS('VI. Debt Cvrg - Public Entity'!$C$8:$V$39), 0), 0)</f>
        <v>8999006.25</v>
      </c>
      <c r="K27" s="71">
        <f t="shared" si="0"/>
        <v>49477887.335079893</v>
      </c>
    </row>
    <row r="28" spans="2:11">
      <c r="B28" s="177">
        <f>'III. CF - Concessionaire'!B32</f>
        <v>2037</v>
      </c>
      <c r="C28" s="73">
        <f>'Data Input'!G30</f>
        <v>121670967.66381574</v>
      </c>
      <c r="D28" s="73">
        <f>'III. CF - Concessionaire'!E32</f>
        <v>10000000</v>
      </c>
      <c r="E28" s="73">
        <f>'III. CF - Concessionaire'!F32</f>
        <v>16114091.761583833</v>
      </c>
      <c r="F28" s="74">
        <f t="shared" si="1"/>
        <v>147785059.42539957</v>
      </c>
      <c r="G28" s="71">
        <f>'Data Input'!H30</f>
        <v>60835483.831907868</v>
      </c>
      <c r="H28" s="74">
        <f t="shared" si="2"/>
        <v>86949575.593491703</v>
      </c>
      <c r="I28" s="74">
        <f>IFERROR(VLOOKUP(B28, 'VI. Debt Cvrg - Public Entity'!$C$8:$O$39, COLUMNS('VI. Debt Cvrg - Public Entity'!$C$8:$O$39), 0), 0)</f>
        <v>17336533</v>
      </c>
      <c r="J28" s="74">
        <f>IFERROR(VLOOKUP(B28, 'VI. Debt Cvrg - Public Entity'!$C$8:$V$39, COLUMNS('VI. Debt Cvrg - Public Entity'!$C$8:$V$39), 0), 0)</f>
        <v>8996168.75</v>
      </c>
      <c r="K28" s="71">
        <f t="shared" si="0"/>
        <v>60616873.843491703</v>
      </c>
    </row>
    <row r="29" spans="2:11">
      <c r="B29" s="177">
        <f>'III. CF - Concessionaire'!B33</f>
        <v>2038</v>
      </c>
      <c r="C29" s="73">
        <f>'Data Input'!G31</f>
        <v>126783727.00641413</v>
      </c>
      <c r="D29" s="73">
        <f>'III. CF - Concessionaire'!E33</f>
        <v>10000000</v>
      </c>
      <c r="E29" s="73">
        <f>'III. CF - Concessionaire'!F33</f>
        <v>17214942.054368194</v>
      </c>
      <c r="F29" s="74">
        <f t="shared" si="1"/>
        <v>153998669.06078231</v>
      </c>
      <c r="G29" s="71">
        <f>'Data Input'!H31</f>
        <v>63391863.503207065</v>
      </c>
      <c r="H29" s="74">
        <f t="shared" si="2"/>
        <v>90606805.557575256</v>
      </c>
      <c r="I29" s="74">
        <f>IFERROR(VLOOKUP(B29, 'VI. Debt Cvrg - Public Entity'!$C$8:$O$39, COLUMNS('VI. Debt Cvrg - Public Entity'!$C$8:$O$39), 0), 0)</f>
        <v>17339963.75</v>
      </c>
      <c r="J29" s="74">
        <f>IFERROR(VLOOKUP(B29, 'VI. Debt Cvrg - Public Entity'!$C$8:$V$39, COLUMNS('VI. Debt Cvrg - Public Entity'!$C$8:$V$39), 0), 0)</f>
        <v>8995350</v>
      </c>
      <c r="K29" s="71">
        <f t="shared" si="0"/>
        <v>64271491.807575256</v>
      </c>
    </row>
    <row r="30" spans="2:11">
      <c r="B30" s="177">
        <f>'III. CF - Concessionaire'!B34</f>
        <v>2039</v>
      </c>
      <c r="C30" s="73">
        <f>'Data Input'!G32</f>
        <v>132124428.42980713</v>
      </c>
      <c r="D30" s="73">
        <f>'III. CF - Concessionaire'!E34</f>
        <v>10000000</v>
      </c>
      <c r="E30" s="73">
        <f>'III. CF - Concessionaire'!F34</f>
        <v>18390998.035754409</v>
      </c>
      <c r="F30" s="74">
        <f t="shared" si="1"/>
        <v>160515426.46556154</v>
      </c>
      <c r="G30" s="71">
        <f>'Data Input'!H32</f>
        <v>66062214.214903563</v>
      </c>
      <c r="H30" s="74">
        <f t="shared" si="2"/>
        <v>94453212.250657976</v>
      </c>
      <c r="I30" s="74">
        <f>IFERROR(VLOOKUP(B30, 'VI. Debt Cvrg - Public Entity'!$C$8:$O$39, COLUMNS('VI. Debt Cvrg - Public Entity'!$C$8:$O$39), 0), 0)</f>
        <v>17335465.25</v>
      </c>
      <c r="J30" s="74">
        <f>IFERROR(VLOOKUP(B30, 'VI. Debt Cvrg - Public Entity'!$C$8:$V$39, COLUMNS('VI. Debt Cvrg - Public Entity'!$C$8:$V$39), 0), 0)</f>
        <v>8995406.25</v>
      </c>
      <c r="K30" s="71">
        <f t="shared" si="0"/>
        <v>68122340.750657976</v>
      </c>
    </row>
    <row r="31" spans="2:11">
      <c r="B31" s="177">
        <f>'III. CF - Concessionaire'!B35</f>
        <v>2040</v>
      </c>
      <c r="C31" s="73">
        <f>'Data Input'!G33</f>
        <v>137703810.37375793</v>
      </c>
      <c r="D31" s="73">
        <f>'III. CF - Concessionaire'!E35</f>
        <v>10000000</v>
      </c>
      <c r="E31" s="73">
        <f>'III. CF - Concessionaire'!F35</f>
        <v>19647397.457564998</v>
      </c>
      <c r="F31" s="74">
        <f t="shared" si="1"/>
        <v>167351207.83132294</v>
      </c>
      <c r="G31" s="71">
        <f>'Data Input'!H33</f>
        <v>68851905.186878964</v>
      </c>
      <c r="H31" s="74">
        <f t="shared" si="2"/>
        <v>98499302.644443974</v>
      </c>
      <c r="I31" s="74">
        <f>IFERROR(VLOOKUP(B31, 'VI. Debt Cvrg - Public Entity'!$C$8:$O$39, COLUMNS('VI. Debt Cvrg - Public Entity'!$C$8:$O$39), 0), 0)</f>
        <v>17340087.5</v>
      </c>
      <c r="J31" s="74">
        <f>IFERROR(VLOOKUP(B31, 'VI. Debt Cvrg - Public Entity'!$C$8:$V$39, COLUMNS('VI. Debt Cvrg - Public Entity'!$C$8:$V$39), 0), 0)</f>
        <v>8995193.75</v>
      </c>
      <c r="K31" s="71">
        <f t="shared" si="0"/>
        <v>72164021.394443974</v>
      </c>
    </row>
    <row r="32" spans="2:11">
      <c r="B32" s="177">
        <f>'III. CF - Concessionaire'!B36</f>
        <v>2041</v>
      </c>
      <c r="C32" s="73">
        <f>'Data Input'!G34</f>
        <v>143533142.61648649</v>
      </c>
      <c r="D32" s="73">
        <f>'III. CF - Concessionaire'!E36</f>
        <v>10000000</v>
      </c>
      <c r="E32" s="73">
        <f>'III. CF - Concessionaire'!F36</f>
        <v>20236819.381291956</v>
      </c>
      <c r="F32" s="74">
        <f t="shared" si="1"/>
        <v>173769961.99777845</v>
      </c>
      <c r="G32" s="71">
        <f>'Data Input'!H34</f>
        <v>71766571.308243245</v>
      </c>
      <c r="H32" s="74">
        <f t="shared" si="2"/>
        <v>102003390.6895352</v>
      </c>
      <c r="I32" s="74">
        <f>IFERROR(VLOOKUP(B32, 'VI. Debt Cvrg - Public Entity'!$C$8:$O$39, COLUMNS('VI. Debt Cvrg - Public Entity'!$C$8:$O$39), 0), 0)</f>
        <v>17336638</v>
      </c>
      <c r="J32" s="74">
        <f>IFERROR(VLOOKUP(B32, 'VI. Debt Cvrg - Public Entity'!$C$8:$V$39, COLUMNS('VI. Debt Cvrg - Public Entity'!$C$8:$V$39), 0), 0)</f>
        <v>8998418.75</v>
      </c>
      <c r="K32" s="71">
        <f t="shared" si="0"/>
        <v>75668333.939535201</v>
      </c>
    </row>
    <row r="33" spans="2:11">
      <c r="B33" s="177">
        <f>'III. CF - Concessionaire'!B37</f>
        <v>2042</v>
      </c>
      <c r="C33" s="73">
        <f>'Data Input'!G35</f>
        <v>149071668.70031911</v>
      </c>
      <c r="D33" s="73">
        <f>'III. CF - Concessionaire'!E37</f>
        <v>10000000</v>
      </c>
      <c r="E33" s="73">
        <f>'III. CF - Concessionaire'!F37</f>
        <v>20843923.962730717</v>
      </c>
      <c r="F33" s="74">
        <f t="shared" si="1"/>
        <v>179915592.66304982</v>
      </c>
      <c r="G33" s="71">
        <f>'Data Input'!H35</f>
        <v>74535834.350159556</v>
      </c>
      <c r="H33" s="74">
        <f t="shared" si="2"/>
        <v>105379758.31289026</v>
      </c>
      <c r="I33" s="74">
        <f>IFERROR(VLOOKUP(B33, 'VI. Debt Cvrg - Public Entity'!$C$8:$O$39, COLUMNS('VI. Debt Cvrg - Public Entity'!$C$8:$O$39), 0), 0)</f>
        <v>17338196</v>
      </c>
      <c r="J33" s="74">
        <f>IFERROR(VLOOKUP(B33, 'VI. Debt Cvrg - Public Entity'!$C$8:$V$39, COLUMNS('VI. Debt Cvrg - Public Entity'!$C$8:$V$39), 0), 0)</f>
        <v>8998787.5</v>
      </c>
      <c r="K33" s="71">
        <f t="shared" si="0"/>
        <v>79042774.812890261</v>
      </c>
    </row>
    <row r="34" spans="2:11">
      <c r="B34" s="177">
        <f>'III. CF - Concessionaire'!B38</f>
        <v>2043</v>
      </c>
      <c r="C34" s="73">
        <f>'Data Input'!G36</f>
        <v>154834159.83620825</v>
      </c>
      <c r="D34" s="73">
        <f>'III. CF - Concessionaire'!E38</f>
        <v>10000000</v>
      </c>
      <c r="E34" s="73">
        <f>'III. CF - Concessionaire'!F38</f>
        <v>21469241.681612637</v>
      </c>
      <c r="F34" s="74">
        <f t="shared" si="1"/>
        <v>186303401.51782089</v>
      </c>
      <c r="G34" s="71">
        <f>'Data Input'!H36</f>
        <v>77417079.918104127</v>
      </c>
      <c r="H34" s="74">
        <f t="shared" si="2"/>
        <v>108886321.59971677</v>
      </c>
      <c r="I34" s="74">
        <f>IFERROR(VLOOKUP(B34, 'VI. Debt Cvrg - Public Entity'!$C$8:$O$39, COLUMNS('VI. Debt Cvrg - Public Entity'!$C$8:$O$39), 0), 0)</f>
        <v>17336783.75</v>
      </c>
      <c r="J34" s="74">
        <f>IFERROR(VLOOKUP(B34, 'VI. Debt Cvrg - Public Entity'!$C$8:$V$39, COLUMNS('VI. Debt Cvrg - Public Entity'!$C$8:$V$39), 0), 0)</f>
        <v>8995156.25</v>
      </c>
      <c r="K34" s="71">
        <f t="shared" si="0"/>
        <v>82554381.599716768</v>
      </c>
    </row>
    <row r="35" spans="2:11">
      <c r="B35" s="177">
        <f>'III. CF - Concessionaire'!B39</f>
        <v>2044</v>
      </c>
      <c r="C35" s="73">
        <f>'Data Input'!G37</f>
        <v>160830093.9682759</v>
      </c>
      <c r="D35" s="73">
        <f>'III. CF - Concessionaire'!E39</f>
        <v>10000000</v>
      </c>
      <c r="E35" s="73">
        <f>'III. CF - Concessionaire'!F39</f>
        <v>22113318.932061013</v>
      </c>
      <c r="F35" s="74">
        <f t="shared" si="1"/>
        <v>192943412.90033692</v>
      </c>
      <c r="G35" s="71">
        <f>'Data Input'!H37</f>
        <v>80415046.984137952</v>
      </c>
      <c r="H35" s="74">
        <f t="shared" ref="H35:H37" si="3">F35-G35</f>
        <v>112528365.91619897</v>
      </c>
      <c r="I35" s="74">
        <f>IFERROR(VLOOKUP(B35, 'VI. Debt Cvrg - Public Entity'!$C$8:$O$39, COLUMNS('VI. Debt Cvrg - Public Entity'!$C$8:$O$39), 0), 0)</f>
        <v>17339924</v>
      </c>
      <c r="J35" s="74">
        <f>IFERROR(VLOOKUP(B35, 'VI. Debt Cvrg - Public Entity'!$C$8:$V$39, COLUMNS('VI. Debt Cvrg - Public Entity'!$C$8:$V$39), 0), 0)</f>
        <v>8999856.25</v>
      </c>
      <c r="K35" s="71">
        <f t="shared" ref="K35:K37" si="4">H35-SUM(I35:J35)</f>
        <v>86188585.666198969</v>
      </c>
    </row>
    <row r="36" spans="2:11">
      <c r="B36" s="177">
        <f>'III. CF - Concessionaire'!B40</f>
        <v>2045</v>
      </c>
      <c r="C36" s="73">
        <f>'Data Input'!G38</f>
        <v>160830093.9682759</v>
      </c>
      <c r="D36" s="73">
        <f>'III. CF - Concessionaire'!E40</f>
        <v>10000000</v>
      </c>
      <c r="E36" s="73">
        <f>'III. CF - Concessionaire'!F40</f>
        <v>22113318.932061013</v>
      </c>
      <c r="F36" s="74">
        <f t="shared" si="1"/>
        <v>192943412.90033692</v>
      </c>
      <c r="G36" s="71">
        <f>'Data Input'!H38</f>
        <v>80415046.984137952</v>
      </c>
      <c r="H36" s="74">
        <f t="shared" si="3"/>
        <v>112528365.91619897</v>
      </c>
      <c r="I36" s="74">
        <f>IFERROR(VLOOKUP(B36, 'VI. Debt Cvrg - Public Entity'!$C$8:$O$39, COLUMNS('VI. Debt Cvrg - Public Entity'!$C$8:$O$39), 0), 0)</f>
        <v>17339350.25</v>
      </c>
      <c r="J36" s="74">
        <f>IFERROR(VLOOKUP(B36, 'VI. Debt Cvrg - Public Entity'!$C$8:$V$39, COLUMNS('VI. Debt Cvrg - Public Entity'!$C$8:$V$39), 0), 0)</f>
        <v>8996856.25</v>
      </c>
      <c r="K36" s="71">
        <f t="shared" si="4"/>
        <v>86192159.416198969</v>
      </c>
    </row>
    <row r="37" spans="2:11">
      <c r="B37" s="192">
        <f>'III. CF - Concessionaire'!B41</f>
        <v>2046</v>
      </c>
      <c r="C37" s="77">
        <f>'Data Input'!G39</f>
        <v>160830093.9682759</v>
      </c>
      <c r="D37" s="77">
        <f>'III. CF - Concessionaire'!E41</f>
        <v>10000000</v>
      </c>
      <c r="E37" s="77">
        <f>'III. CF - Concessionaire'!F41</f>
        <v>22113318.932061013</v>
      </c>
      <c r="F37" s="78">
        <f t="shared" si="1"/>
        <v>192943412.90033692</v>
      </c>
      <c r="G37" s="75">
        <f>'Data Input'!H39</f>
        <v>80415046.984137952</v>
      </c>
      <c r="H37" s="78">
        <f t="shared" si="3"/>
        <v>112528365.91619897</v>
      </c>
      <c r="I37" s="78">
        <f>IFERROR(VLOOKUP(B37, 'VI. Debt Cvrg - Public Entity'!$C$8:$O$39, COLUMNS('VI. Debt Cvrg - Public Entity'!$C$8:$O$39), 0), 0)</f>
        <v>17337622</v>
      </c>
      <c r="J37" s="78">
        <f>IFERROR(VLOOKUP(B37, 'VI. Debt Cvrg - Public Entity'!$C$8:$V$39, COLUMNS('VI. Debt Cvrg - Public Entity'!$C$8:$V$39), 0), 0)</f>
        <v>8995256.25</v>
      </c>
      <c r="K37" s="75">
        <f t="shared" si="4"/>
        <v>86195487.666198969</v>
      </c>
    </row>
    <row r="38" spans="2:11">
      <c r="B38" s="95" t="s">
        <v>5</v>
      </c>
      <c r="C38" s="116">
        <f t="shared" ref="C38:K38" si="5">SUM(C6:C37)</f>
        <v>3097953289.5075555</v>
      </c>
      <c r="D38" s="116">
        <f t="shared" si="5"/>
        <v>280000000</v>
      </c>
      <c r="E38" s="116">
        <f t="shared" si="5"/>
        <v>373438699.21748281</v>
      </c>
      <c r="F38" s="116">
        <f t="shared" si="5"/>
        <v>3751391988.7250361</v>
      </c>
      <c r="G38" s="116">
        <f t="shared" si="5"/>
        <v>1548976644.7537777</v>
      </c>
      <c r="H38" s="116">
        <f t="shared" si="5"/>
        <v>2202415343.9712601</v>
      </c>
      <c r="I38" s="116">
        <f t="shared" si="5"/>
        <v>661198481.74000001</v>
      </c>
      <c r="J38" s="116">
        <f t="shared" si="5"/>
        <v>266825963.88000003</v>
      </c>
      <c r="K38" s="116">
        <f t="shared" si="5"/>
        <v>1274390898.3512602</v>
      </c>
    </row>
    <row r="39" spans="2:11">
      <c r="B39" s="95"/>
    </row>
    <row r="40" spans="2:11">
      <c r="B40" s="143"/>
    </row>
    <row r="41" spans="2:11">
      <c r="B41" s="143"/>
    </row>
    <row r="42" spans="2:11">
      <c r="B42" s="143"/>
    </row>
    <row r="43" spans="2:11">
      <c r="B43" s="95"/>
    </row>
    <row r="44" spans="2:11">
      <c r="B44" s="95"/>
    </row>
    <row r="45" spans="2:11">
      <c r="B45" s="95"/>
    </row>
    <row r="46" spans="2:11" hidden="1">
      <c r="B46" s="95"/>
    </row>
    <row r="47" spans="2:11" hidden="1">
      <c r="B47" s="95"/>
    </row>
    <row r="48" spans="2:11" hidden="1">
      <c r="B48" s="95"/>
    </row>
    <row r="49" spans="2:2" hidden="1">
      <c r="B49" s="95"/>
    </row>
    <row r="50" spans="2:2" hidden="1">
      <c r="B50" s="95"/>
    </row>
    <row r="51" spans="2:2" hidden="1">
      <c r="B51" s="95"/>
    </row>
    <row r="52" spans="2:2" hidden="1">
      <c r="B52" s="95"/>
    </row>
    <row r="53" spans="2:2" hidden="1">
      <c r="B53" s="95"/>
    </row>
    <row r="54" spans="2:2" hidden="1">
      <c r="B54" s="95"/>
    </row>
    <row r="55" spans="2:2" hidden="1">
      <c r="B55" s="95"/>
    </row>
    <row r="56" spans="2:2" hidden="1">
      <c r="B56" s="95"/>
    </row>
    <row r="57" spans="2:2" hidden="1">
      <c r="B57" s="95"/>
    </row>
    <row r="58" spans="2:2" hidden="1">
      <c r="B58" s="95"/>
    </row>
    <row r="59" spans="2:2" hidden="1">
      <c r="B59" s="95"/>
    </row>
    <row r="60" spans="2:2" hidden="1">
      <c r="B60" s="95"/>
    </row>
    <row r="61" spans="2:2" hidden="1">
      <c r="B61" s="95"/>
    </row>
  </sheetData>
  <mergeCells count="6">
    <mergeCell ref="I4:J4"/>
    <mergeCell ref="C4:F4"/>
    <mergeCell ref="B4:B5"/>
    <mergeCell ref="H4:H5"/>
    <mergeCell ref="K4:K5"/>
    <mergeCell ref="G4:G5"/>
  </mergeCells>
  <printOptions horizontalCentered="1"/>
  <pageMargins left="0.7" right="0.7" top="0.75" bottom="0.75" header="0.3" footer="0.3"/>
  <pageSetup scale="90" orientation="landscape" r:id="rId1"/>
  <headerFooter scaleWithDoc="0">
    <oddFooter xml:space="preserve">&amp;L&amp;"Arial,Regular"&amp;7Port Concession Evaluation Model&amp;R&amp;"Arial,Regular"&amp;7Copyright Public Financial Management, Inc.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8" tint="0.59999389629810485"/>
    <pageSetUpPr autoPageBreaks="0" fitToPage="1"/>
  </sheetPr>
  <dimension ref="A1:Q66"/>
  <sheetViews>
    <sheetView tabSelected="1" zoomScaleNormal="100" workbookViewId="0">
      <selection activeCell="B1" sqref="B1"/>
    </sheetView>
  </sheetViews>
  <sheetFormatPr defaultColWidth="0" defaultRowHeight="13.2" zeroHeight="1"/>
  <cols>
    <col min="1" max="1" width="9.375" style="1" customWidth="1"/>
    <col min="2" max="2" width="10.625" style="1" bestFit="1" customWidth="1"/>
    <col min="3" max="3" width="13.125" style="2" customWidth="1"/>
    <col min="4" max="4" width="14.125" style="2" customWidth="1"/>
    <col min="5" max="5" width="14.375" style="2" customWidth="1"/>
    <col min="6" max="6" width="16.5" style="2" customWidth="1"/>
    <col min="7" max="7" width="23" style="2" customWidth="1"/>
    <col min="8" max="8" width="20" style="2" customWidth="1"/>
    <col min="9" max="9" width="18.125" style="2" bestFit="1" customWidth="1"/>
    <col min="10" max="10" width="18.5" style="2" customWidth="1"/>
    <col min="11" max="12" width="9.375" style="1" customWidth="1"/>
    <col min="13" max="13" width="12.375" style="1" bestFit="1" customWidth="1"/>
    <col min="14" max="17" width="0" style="1" hidden="1" customWidth="1"/>
    <col min="18" max="16384" width="9.375" style="1" hidden="1"/>
  </cols>
  <sheetData>
    <row r="1" spans="2:17"/>
    <row r="2" spans="2:17"/>
    <row r="3" spans="2:17" ht="13.8">
      <c r="C3" s="6" t="s">
        <v>128</v>
      </c>
    </row>
    <row r="4" spans="2:17"/>
    <row r="5" spans="2:17">
      <c r="C5" s="259" t="s">
        <v>0</v>
      </c>
      <c r="D5" s="256" t="s">
        <v>41</v>
      </c>
      <c r="E5" s="257"/>
      <c r="F5" s="257"/>
      <c r="G5" s="257"/>
      <c r="H5" s="258"/>
      <c r="I5" s="63" t="s">
        <v>49</v>
      </c>
      <c r="J5" s="89" t="s">
        <v>41</v>
      </c>
    </row>
    <row r="6" spans="2:17">
      <c r="C6" s="260"/>
      <c r="D6" s="120" t="s">
        <v>6</v>
      </c>
      <c r="E6" s="122" t="s">
        <v>4</v>
      </c>
      <c r="F6" s="122" t="s">
        <v>7</v>
      </c>
      <c r="G6" s="122" t="s">
        <v>40</v>
      </c>
      <c r="H6" s="121" t="s">
        <v>30</v>
      </c>
      <c r="I6" s="65" t="s">
        <v>9</v>
      </c>
      <c r="J6" s="90" t="s">
        <v>42</v>
      </c>
      <c r="N6" s="131"/>
    </row>
    <row r="7" spans="2:17">
      <c r="B7" s="94"/>
      <c r="C7" s="176">
        <f>'III. CF - Concessionaire'!B10</f>
        <v>2015</v>
      </c>
      <c r="D7" s="72">
        <f>'Data Input'!AC8</f>
        <v>0</v>
      </c>
      <c r="E7" s="73">
        <f>'Data Input'!AD8</f>
        <v>0</v>
      </c>
      <c r="F7" s="73">
        <f>'Data Input'!AE8</f>
        <v>0</v>
      </c>
      <c r="G7" s="73">
        <f>IF(C7&lt;=YEAR('I. Assumptions'!$E$33), -'V. Debt Cvrg - Concessionaire'!E7, 0)*('I. Assumptions'!$CJ$36=1)</f>
        <v>0</v>
      </c>
      <c r="H7" s="74">
        <f t="shared" ref="H7" si="0">F7+G7</f>
        <v>0</v>
      </c>
      <c r="I7" s="71">
        <f>'III. CF - Concessionaire'!G10</f>
        <v>2721536.6361462511</v>
      </c>
      <c r="J7" s="71" t="str">
        <f t="shared" ref="J7:J10" si="1">IFERROR(I7/H7, "")</f>
        <v/>
      </c>
    </row>
    <row r="8" spans="2:17">
      <c r="B8" s="94"/>
      <c r="C8" s="177">
        <f>'III. CF - Concessionaire'!B11</f>
        <v>2016</v>
      </c>
      <c r="D8" s="72">
        <f>'Data Input'!AC9</f>
        <v>0</v>
      </c>
      <c r="E8" s="73">
        <f>'Data Input'!AD9</f>
        <v>7493252.5499999998</v>
      </c>
      <c r="F8" s="73">
        <f>'Data Input'!AE9</f>
        <v>7493252.5499999998</v>
      </c>
      <c r="G8" s="73">
        <f>IF(C8&lt;=YEAR('I. Assumptions'!$E$33), -'V. Debt Cvrg - Concessionaire'!E8, 0)*('I. Assumptions'!$CJ$36=1)</f>
        <v>-7493252.5499999998</v>
      </c>
      <c r="H8" s="74">
        <f t="shared" ref="H8:H10" si="2">F8+G8</f>
        <v>0</v>
      </c>
      <c r="I8" s="71">
        <f>'III. CF - Concessionaire'!G11</f>
        <v>6894560.362661209</v>
      </c>
      <c r="J8" s="108" t="str">
        <f t="shared" si="1"/>
        <v/>
      </c>
      <c r="M8" s="170"/>
      <c r="N8" s="170"/>
      <c r="O8" s="170"/>
      <c r="P8" s="170"/>
      <c r="Q8" s="170"/>
    </row>
    <row r="9" spans="2:17">
      <c r="B9" s="94"/>
      <c r="C9" s="177">
        <f>'III. CF - Concessionaire'!B12</f>
        <v>2017</v>
      </c>
      <c r="D9" s="72">
        <f>'Data Input'!AC10</f>
        <v>0</v>
      </c>
      <c r="E9" s="73">
        <f>'Data Input'!AD10</f>
        <v>7481796.3499999996</v>
      </c>
      <c r="F9" s="73">
        <f>'Data Input'!AE10</f>
        <v>7481796.3499999996</v>
      </c>
      <c r="G9" s="73">
        <f>IF(C9&lt;=YEAR('I. Assumptions'!$E$33), -'V. Debt Cvrg - Concessionaire'!E9, 0)*('I. Assumptions'!$CJ$36=1)</f>
        <v>-7481796.3499999996</v>
      </c>
      <c r="H9" s="74">
        <f t="shared" si="2"/>
        <v>0</v>
      </c>
      <c r="I9" s="71">
        <f>'III. CF - Concessionaire'!G12</f>
        <v>8066122.4019967765</v>
      </c>
      <c r="J9" s="108" t="str">
        <f t="shared" si="1"/>
        <v/>
      </c>
      <c r="M9" s="170"/>
      <c r="N9" s="170"/>
      <c r="O9" s="170"/>
      <c r="P9" s="170"/>
      <c r="Q9" s="170"/>
    </row>
    <row r="10" spans="2:17">
      <c r="B10" s="94"/>
      <c r="C10" s="177">
        <f>'III. CF - Concessionaire'!B13</f>
        <v>2018</v>
      </c>
      <c r="D10" s="72">
        <f>'Data Input'!AC11</f>
        <v>0</v>
      </c>
      <c r="E10" s="73">
        <f>'Data Input'!AD11</f>
        <v>7471243.1499999994</v>
      </c>
      <c r="F10" s="73">
        <f>'Data Input'!AE11</f>
        <v>7471243.1499999994</v>
      </c>
      <c r="G10" s="73">
        <f>IF(C10&lt;=YEAR('I. Assumptions'!$E$33), -'V. Debt Cvrg - Concessionaire'!E10, 0)*('I. Assumptions'!$CJ$36=1)</f>
        <v>-7471243.1499999994</v>
      </c>
      <c r="H10" s="74">
        <f t="shared" si="2"/>
        <v>0</v>
      </c>
      <c r="I10" s="71">
        <f>'III. CF - Concessionaire'!G13</f>
        <v>9317720.8736115955</v>
      </c>
      <c r="J10" s="108" t="str">
        <f t="shared" si="1"/>
        <v/>
      </c>
      <c r="M10" s="170"/>
      <c r="N10" s="170"/>
      <c r="O10" s="170"/>
      <c r="P10" s="170"/>
      <c r="Q10" s="170"/>
    </row>
    <row r="11" spans="2:17">
      <c r="B11" s="94"/>
      <c r="C11" s="177">
        <f>'III. CF - Concessionaire'!B14</f>
        <v>2019</v>
      </c>
      <c r="D11" s="72">
        <f>'Data Input'!AC12</f>
        <v>0</v>
      </c>
      <c r="E11" s="73">
        <f>'Data Input'!AD12</f>
        <v>7460445.9999999991</v>
      </c>
      <c r="F11" s="73">
        <f>'Data Input'!AE12</f>
        <v>7460445.9999999991</v>
      </c>
      <c r="G11" s="73">
        <f>IF(C11&lt;=YEAR('I. Assumptions'!$E$33), -'V. Debt Cvrg - Concessionaire'!E11, 0)*('I. Assumptions'!$CJ$36=1)</f>
        <v>0</v>
      </c>
      <c r="H11" s="74">
        <f>F11+G11</f>
        <v>7460445.9999999991</v>
      </c>
      <c r="I11" s="71">
        <f>'III. CF - Concessionaire'!G14</f>
        <v>13473073.546413243</v>
      </c>
      <c r="J11" s="108">
        <f>IFERROR(I11/H11, "")</f>
        <v>1.8059340616383048</v>
      </c>
      <c r="M11" s="170"/>
      <c r="N11" s="170"/>
      <c r="O11" s="170"/>
      <c r="P11" s="170"/>
      <c r="Q11" s="170"/>
    </row>
    <row r="12" spans="2:17">
      <c r="B12" s="94"/>
      <c r="C12" s="177">
        <f>'III. CF - Concessionaire'!B15</f>
        <v>2020</v>
      </c>
      <c r="D12" s="72">
        <f>'Data Input'!AC13</f>
        <v>0</v>
      </c>
      <c r="E12" s="73">
        <f>'Data Input'!AD13</f>
        <v>7449728.2999999998</v>
      </c>
      <c r="F12" s="73">
        <f>'Data Input'!AE13</f>
        <v>7449728.2999999998</v>
      </c>
      <c r="G12" s="73">
        <f>IF(C12&lt;=YEAR('I. Assumptions'!$E$33), -'V. Debt Cvrg - Concessionaire'!E12, 0)*('I. Assumptions'!$CJ$36=1)</f>
        <v>0</v>
      </c>
      <c r="H12" s="74">
        <f t="shared" ref="H12:H47" si="3">F12+G12</f>
        <v>7449728.2999999998</v>
      </c>
      <c r="I12" s="71">
        <f>'III. CF - Concessionaire'!G15</f>
        <v>14901521.725409999</v>
      </c>
      <c r="J12" s="108">
        <f t="shared" ref="J12:J47" si="4">IFERROR(I12/H12, "")</f>
        <v>2.0002772081513363</v>
      </c>
      <c r="M12" s="170"/>
      <c r="N12" s="170"/>
      <c r="O12" s="170"/>
      <c r="P12" s="170"/>
      <c r="Q12" s="170"/>
    </row>
    <row r="13" spans="2:17">
      <c r="B13" s="94"/>
      <c r="C13" s="177">
        <f>'III. CF - Concessionaire'!B16</f>
        <v>2021</v>
      </c>
      <c r="D13" s="72">
        <f>'Data Input'!AC14</f>
        <v>0</v>
      </c>
      <c r="E13" s="73">
        <f>'Data Input'!AD14</f>
        <v>7458494.0499999998</v>
      </c>
      <c r="F13" s="73">
        <f>'Data Input'!AE14</f>
        <v>7458494.0499999998</v>
      </c>
      <c r="G13" s="73">
        <f>IF(C13&lt;=YEAR('I. Assumptions'!$E$33), -'V. Debt Cvrg - Concessionaire'!E13, 0)*('I. Assumptions'!$CJ$36=1)</f>
        <v>0</v>
      </c>
      <c r="H13" s="74">
        <f t="shared" si="3"/>
        <v>7458494.0499999998</v>
      </c>
      <c r="I13" s="71">
        <f>'III. CF - Concessionaire'!G16</f>
        <v>16427555.77020289</v>
      </c>
      <c r="J13" s="108">
        <f t="shared" si="4"/>
        <v>2.2025298485292604</v>
      </c>
      <c r="M13" s="170"/>
      <c r="N13" s="170"/>
      <c r="O13" s="170"/>
      <c r="P13" s="170"/>
      <c r="Q13" s="170"/>
    </row>
    <row r="14" spans="2:17">
      <c r="B14" s="94"/>
      <c r="C14" s="177">
        <f>'III. CF - Concessionaire'!B17</f>
        <v>2022</v>
      </c>
      <c r="D14" s="72">
        <f>'Data Input'!AC15</f>
        <v>0</v>
      </c>
      <c r="E14" s="73">
        <f>'Data Input'!AD15</f>
        <v>7459192.9999999991</v>
      </c>
      <c r="F14" s="73">
        <f>'Data Input'!AE15</f>
        <v>7459192.9999999991</v>
      </c>
      <c r="G14" s="73">
        <f>IF(C14&lt;=YEAR('I. Assumptions'!$E$33), -'V. Debt Cvrg - Concessionaire'!E14, 0)*('I. Assumptions'!$CJ$36=1)</f>
        <v>0</v>
      </c>
      <c r="H14" s="74">
        <f t="shared" si="3"/>
        <v>7459192.9999999991</v>
      </c>
      <c r="I14" s="71">
        <f>'III. CF - Concessionaire'!G17</f>
        <v>18057842.356800199</v>
      </c>
      <c r="J14" s="108">
        <f t="shared" si="4"/>
        <v>2.4208841836912116</v>
      </c>
      <c r="M14" s="170"/>
      <c r="N14" s="170"/>
      <c r="O14" s="170"/>
      <c r="P14" s="170"/>
      <c r="Q14" s="170"/>
    </row>
    <row r="15" spans="2:17">
      <c r="B15" s="94"/>
      <c r="C15" s="177">
        <f>'III. CF - Concessionaire'!B18</f>
        <v>2023</v>
      </c>
      <c r="D15" s="72">
        <f>'Data Input'!AC16</f>
        <v>3066000</v>
      </c>
      <c r="E15" s="73">
        <f>'Data Input'!AD16</f>
        <v>7397413.0999999996</v>
      </c>
      <c r="F15" s="73">
        <f>'Data Input'!AE16</f>
        <v>10463413.1</v>
      </c>
      <c r="G15" s="73">
        <f>IF(C15&lt;=YEAR('I. Assumptions'!$E$33), -'V. Debt Cvrg - Concessionaire'!E15, 0)*('I. Assumptions'!$CJ$36=1)</f>
        <v>0</v>
      </c>
      <c r="H15" s="74">
        <f t="shared" si="3"/>
        <v>10463413.1</v>
      </c>
      <c r="I15" s="71">
        <f>'III. CF - Concessionaire'!G18</f>
        <v>18774043.601847529</v>
      </c>
      <c r="J15" s="108">
        <f t="shared" si="4"/>
        <v>1.7942561784020101</v>
      </c>
      <c r="M15" s="170"/>
      <c r="N15" s="170"/>
      <c r="O15" s="170"/>
      <c r="P15" s="170"/>
      <c r="Q15" s="170"/>
    </row>
    <row r="16" spans="2:17">
      <c r="B16" s="94"/>
      <c r="C16" s="177">
        <f>'III. CF - Concessionaire'!B19</f>
        <v>2024</v>
      </c>
      <c r="D16" s="72">
        <f>'Data Input'!AC17</f>
        <v>3195500</v>
      </c>
      <c r="E16" s="73">
        <f>'Data Input'!AD17</f>
        <v>7267728.8249999993</v>
      </c>
      <c r="F16" s="73">
        <f>'Data Input'!AE17</f>
        <v>10463228.824999999</v>
      </c>
      <c r="G16" s="73">
        <f>IF(C16&lt;=YEAR('I. Assumptions'!$E$33), -'V. Debt Cvrg - Concessionaire'!E16, 0)*('I. Assumptions'!$CJ$36=1)</f>
        <v>0</v>
      </c>
      <c r="H16" s="74">
        <f t="shared" si="3"/>
        <v>10463228.824999999</v>
      </c>
      <c r="I16" s="71">
        <f>'III. CF - Concessionaire'!G19</f>
        <v>19096498.176511288</v>
      </c>
      <c r="J16" s="108">
        <f t="shared" si="4"/>
        <v>1.8251056624971871</v>
      </c>
      <c r="M16" s="170"/>
      <c r="N16" s="170"/>
      <c r="O16" s="170"/>
      <c r="P16" s="170"/>
      <c r="Q16" s="170"/>
    </row>
    <row r="17" spans="2:17">
      <c r="B17" s="94"/>
      <c r="C17" s="177">
        <f>'III. CF - Concessionaire'!B20</f>
        <v>2025</v>
      </c>
      <c r="D17" s="72">
        <f>'Data Input'!AC18</f>
        <v>3339000</v>
      </c>
      <c r="E17" s="73">
        <f>'Data Input'!AD18</f>
        <v>7124530</v>
      </c>
      <c r="F17" s="73">
        <f>'Data Input'!AE18</f>
        <v>10463530</v>
      </c>
      <c r="G17" s="73">
        <f>IF(C17&lt;=YEAR('I. Assumptions'!$E$33), -'V. Debt Cvrg - Concessionaire'!E17, 0)*('I. Assumptions'!$CJ$36=1)</f>
        <v>0</v>
      </c>
      <c r="H17" s="74">
        <f t="shared" si="3"/>
        <v>10463530</v>
      </c>
      <c r="I17" s="71">
        <f>'III. CF - Concessionaire'!G20</f>
        <v>21084254.545937836</v>
      </c>
      <c r="J17" s="108">
        <f t="shared" si="4"/>
        <v>2.0150230893338898</v>
      </c>
      <c r="M17" s="170"/>
      <c r="N17" s="170"/>
      <c r="O17" s="170"/>
      <c r="P17" s="170"/>
      <c r="Q17" s="170"/>
    </row>
    <row r="18" spans="2:17">
      <c r="B18" s="94"/>
      <c r="C18" s="177">
        <f>'III. CF - Concessionaire'!B21</f>
        <v>2026</v>
      </c>
      <c r="D18" s="72">
        <f>'Data Input'!AC19</f>
        <v>3496500</v>
      </c>
      <c r="E18" s="73">
        <f>'Data Input'!AD19</f>
        <v>6968291.5749999993</v>
      </c>
      <c r="F18" s="73">
        <f>'Data Input'!AE19</f>
        <v>10464791.574999999</v>
      </c>
      <c r="G18" s="73">
        <f>IF(C18&lt;=YEAR('I. Assumptions'!$E$33), -'V. Debt Cvrg - Concessionaire'!E18, 0)*('I. Assumptions'!$CJ$36=1)</f>
        <v>0</v>
      </c>
      <c r="H18" s="74">
        <f t="shared" si="3"/>
        <v>10464791.574999999</v>
      </c>
      <c r="I18" s="71">
        <f>'III. CF - Concessionaire'!G21</f>
        <v>23207806.479498118</v>
      </c>
      <c r="J18" s="108">
        <f t="shared" si="4"/>
        <v>2.2177036506814631</v>
      </c>
      <c r="M18" s="170"/>
      <c r="N18" s="170"/>
      <c r="O18" s="170"/>
      <c r="P18" s="170"/>
      <c r="Q18" s="170"/>
    </row>
    <row r="19" spans="2:17">
      <c r="B19" s="94"/>
      <c r="C19" s="177">
        <f>'III. CF - Concessionaire'!B22</f>
        <v>2027</v>
      </c>
      <c r="D19" s="72">
        <f>'Data Input'!AC20</f>
        <v>3664500</v>
      </c>
      <c r="E19" s="73">
        <f>'Data Input'!AD20</f>
        <v>6800132.5</v>
      </c>
      <c r="F19" s="73">
        <f>'Data Input'!AE20</f>
        <v>10464632.5</v>
      </c>
      <c r="G19" s="73">
        <f>IF(C19&lt;=YEAR('I. Assumptions'!$E$33), -'V. Debt Cvrg - Concessionaire'!E19, 0)*('I. Assumptions'!$CJ$36=1)</f>
        <v>0</v>
      </c>
      <c r="H19" s="74">
        <f t="shared" si="3"/>
        <v>10464632.5</v>
      </c>
      <c r="I19" s="71">
        <f>'III. CF - Concessionaire'!G22</f>
        <v>25476430.986951515</v>
      </c>
      <c r="J19" s="108">
        <f t="shared" si="4"/>
        <v>2.4345270593068142</v>
      </c>
      <c r="M19" s="170"/>
      <c r="N19" s="170"/>
      <c r="O19" s="170"/>
      <c r="P19" s="170"/>
      <c r="Q19" s="170"/>
    </row>
    <row r="20" spans="2:17">
      <c r="B20" s="94"/>
      <c r="C20" s="177">
        <f>'III. CF - Concessionaire'!B23</f>
        <v>2028</v>
      </c>
      <c r="D20" s="72">
        <f>'Data Input'!AC21</f>
        <v>3842999.9999999995</v>
      </c>
      <c r="E20" s="73">
        <f>'Data Input'!AD21</f>
        <v>6619532.5</v>
      </c>
      <c r="F20" s="73">
        <f>'Data Input'!AE21</f>
        <v>10462532.5</v>
      </c>
      <c r="G20" s="73">
        <f>IF(C20&lt;=YEAR('I. Assumptions'!$E$33), -'V. Debt Cvrg - Concessionaire'!E20, 0)*('I. Assumptions'!$CJ$36=1)</f>
        <v>0</v>
      </c>
      <c r="H20" s="74">
        <f t="shared" si="3"/>
        <v>10462532.5</v>
      </c>
      <c r="I20" s="71">
        <f>'III. CF - Concessionaire'!G23</f>
        <v>27900038.846256092</v>
      </c>
      <c r="J20" s="108">
        <f t="shared" si="4"/>
        <v>2.6666620960323031</v>
      </c>
      <c r="M20" s="170"/>
      <c r="N20" s="170"/>
      <c r="O20" s="170"/>
      <c r="P20" s="170"/>
      <c r="Q20" s="170"/>
    </row>
    <row r="21" spans="2:17">
      <c r="B21" s="94"/>
      <c r="C21" s="177">
        <f>'III. CF - Concessionaire'!B24</f>
        <v>2029</v>
      </c>
      <c r="D21" s="72">
        <f>'Data Input'!AC22</f>
        <v>4035499.9999999995</v>
      </c>
      <c r="E21" s="73">
        <f>'Data Input'!AD22</f>
        <v>6426067.1999999993</v>
      </c>
      <c r="F21" s="73">
        <f>'Data Input'!AE22</f>
        <v>10461567.199999999</v>
      </c>
      <c r="G21" s="73">
        <f>IF(C21&lt;=YEAR('I. Assumptions'!$E$33), -'V. Debt Cvrg - Concessionaire'!E21, 0)</f>
        <v>0</v>
      </c>
      <c r="H21" s="74">
        <f t="shared" si="3"/>
        <v>10461567.199999999</v>
      </c>
      <c r="I21" s="71">
        <f>'III. CF - Concessionaire'!G24</f>
        <v>30489217.900076911</v>
      </c>
      <c r="J21" s="108">
        <f t="shared" si="4"/>
        <v>2.914402528530994</v>
      </c>
      <c r="M21" s="170"/>
      <c r="N21" s="170"/>
      <c r="O21" s="170"/>
      <c r="P21" s="170"/>
      <c r="Q21" s="170"/>
    </row>
    <row r="22" spans="2:17">
      <c r="B22" s="94"/>
      <c r="C22" s="177">
        <f>'III. CF - Concessionaire'!B25</f>
        <v>2030</v>
      </c>
      <c r="D22" s="72">
        <f>'Data Input'!AC23</f>
        <v>4245500</v>
      </c>
      <c r="E22" s="73">
        <f>'Data Input'!AD23</f>
        <v>6218575.6499999994</v>
      </c>
      <c r="F22" s="73">
        <f>'Data Input'!AE23</f>
        <v>10464075.649999999</v>
      </c>
      <c r="G22" s="73">
        <f>IF(C22&lt;=YEAR('I. Assumptions'!$E$33), -'V. Debt Cvrg - Concessionaire'!E22, 0)</f>
        <v>0</v>
      </c>
      <c r="H22" s="74">
        <f t="shared" si="3"/>
        <v>10464075.649999999</v>
      </c>
      <c r="I22" s="71">
        <f>'III. CF - Concessionaire'!G25</f>
        <v>33255279.310138583</v>
      </c>
      <c r="J22" s="108">
        <f t="shared" si="4"/>
        <v>3.178042707493097</v>
      </c>
      <c r="M22" s="170"/>
      <c r="N22" s="170"/>
      <c r="O22" s="170"/>
      <c r="P22" s="170"/>
      <c r="Q22" s="170"/>
    </row>
    <row r="23" spans="2:17">
      <c r="B23" s="94"/>
      <c r="C23" s="177">
        <f>'III. CF - Concessionaire'!B26</f>
        <v>2031</v>
      </c>
      <c r="D23" s="72">
        <f>'Data Input'!AC24</f>
        <v>4466000</v>
      </c>
      <c r="E23" s="73">
        <f>'Data Input'!AD24</f>
        <v>5996611.5999999996</v>
      </c>
      <c r="F23" s="73">
        <f>'Data Input'!AE24</f>
        <v>10462611.6</v>
      </c>
      <c r="G23" s="73">
        <f>IF(C23&lt;=YEAR('I. Assumptions'!$E$33), -'V. Debt Cvrg - Concessionaire'!E23, 0)</f>
        <v>0</v>
      </c>
      <c r="H23" s="74">
        <f t="shared" si="3"/>
        <v>10462611.6</v>
      </c>
      <c r="I23" s="71">
        <f>'III. CF - Concessionaire'!G26</f>
        <v>36210306.971489996</v>
      </c>
      <c r="J23" s="108">
        <f t="shared" si="4"/>
        <v>3.4609243232817701</v>
      </c>
      <c r="M23" s="170"/>
      <c r="N23" s="170"/>
      <c r="O23" s="170"/>
      <c r="P23" s="170"/>
      <c r="Q23" s="170"/>
    </row>
    <row r="24" spans="2:17">
      <c r="B24" s="94"/>
      <c r="C24" s="177">
        <f>'III. CF - Concessionaire'!B27</f>
        <v>2032</v>
      </c>
      <c r="D24" s="72">
        <f>'Data Input'!AC25</f>
        <v>4704000</v>
      </c>
      <c r="E24" s="73">
        <f>'Data Input'!AD25</f>
        <v>5759989.8999999994</v>
      </c>
      <c r="F24" s="73">
        <f>'Data Input'!AE25</f>
        <v>10463989.899999999</v>
      </c>
      <c r="G24" s="73">
        <f>IF(C24&lt;=YEAR('I. Assumptions'!$E$33), -'V. Debt Cvrg - Concessionaire'!E24, 0)</f>
        <v>0</v>
      </c>
      <c r="H24" s="74">
        <f t="shared" si="3"/>
        <v>10463989.899999999</v>
      </c>
      <c r="I24" s="71">
        <f>'III. CF - Concessionaire'!G27</f>
        <v>39367210.30255428</v>
      </c>
      <c r="J24" s="108">
        <f t="shared" si="4"/>
        <v>3.762160579164386</v>
      </c>
      <c r="M24" s="170"/>
      <c r="N24" s="170"/>
      <c r="O24" s="170"/>
      <c r="P24" s="170"/>
      <c r="Q24" s="170"/>
    </row>
    <row r="25" spans="2:17">
      <c r="B25" s="94"/>
      <c r="C25" s="177">
        <f>'III. CF - Concessionaire'!B28</f>
        <v>2033</v>
      </c>
      <c r="D25" s="72">
        <f>'Data Input'!AC26</f>
        <v>4956000</v>
      </c>
      <c r="E25" s="73">
        <f>'Data Input'!AD26</f>
        <v>5507826.0999999996</v>
      </c>
      <c r="F25" s="73">
        <f>'Data Input'!AE26</f>
        <v>10463826.1</v>
      </c>
      <c r="G25" s="73">
        <f>IF(C25&lt;=YEAR('I. Assumptions'!$E$33), -'V. Debt Cvrg - Concessionaire'!E25, 0)</f>
        <v>0</v>
      </c>
      <c r="H25" s="74">
        <f t="shared" si="3"/>
        <v>10463826.1</v>
      </c>
      <c r="I25" s="71">
        <f>'III. CF - Concessionaire'!G28</f>
        <v>42739780.641583592</v>
      </c>
      <c r="J25" s="108">
        <f t="shared" si="4"/>
        <v>4.0845270394529578</v>
      </c>
      <c r="M25" s="170"/>
      <c r="N25" s="170"/>
      <c r="O25" s="170"/>
      <c r="P25" s="170"/>
      <c r="Q25" s="170"/>
    </row>
    <row r="26" spans="2:17">
      <c r="B26" s="94"/>
      <c r="C26" s="177">
        <f>'III. CF - Concessionaire'!B29</f>
        <v>2034</v>
      </c>
      <c r="D26" s="72">
        <f>'Data Input'!AC27</f>
        <v>5225500</v>
      </c>
      <c r="E26" s="73">
        <f>'Data Input'!AD27</f>
        <v>5238732.7999999998</v>
      </c>
      <c r="F26" s="73">
        <f>'Data Input'!AE27</f>
        <v>10464232.799999999</v>
      </c>
      <c r="G26" s="73">
        <f>IF(C26&lt;=YEAR('I. Assumptions'!$E$33), -'V. Debt Cvrg - Concessionaire'!E26, 0)</f>
        <v>0</v>
      </c>
      <c r="H26" s="74">
        <f t="shared" si="3"/>
        <v>10464232.799999999</v>
      </c>
      <c r="I26" s="71">
        <f>'III. CF - Concessionaire'!G29</f>
        <v>46342751.495894015</v>
      </c>
      <c r="J26" s="108">
        <f t="shared" si="4"/>
        <v>4.4286812403384239</v>
      </c>
      <c r="M26" s="170"/>
      <c r="N26" s="170"/>
      <c r="O26" s="170"/>
      <c r="P26" s="170"/>
      <c r="Q26" s="170"/>
    </row>
    <row r="27" spans="2:17">
      <c r="B27" s="94"/>
      <c r="C27" s="177">
        <f>'III. CF - Concessionaire'!B30</f>
        <v>2035</v>
      </c>
      <c r="D27" s="72">
        <f>'Data Input'!AC28</f>
        <v>5512500</v>
      </c>
      <c r="E27" s="73">
        <f>'Data Input'!AD28</f>
        <v>4951448.25</v>
      </c>
      <c r="F27" s="73">
        <f>'Data Input'!AE28</f>
        <v>10463948.25</v>
      </c>
      <c r="G27" s="73">
        <f>IF(C27&lt;=YEAR('I. Assumptions'!$E$33), -'V. Debt Cvrg - Concessionaire'!E27, 0)</f>
        <v>0</v>
      </c>
      <c r="H27" s="74">
        <f t="shared" si="3"/>
        <v>10463948.25</v>
      </c>
      <c r="I27" s="71">
        <f>'III. CF - Concessionaire'!G30</f>
        <v>50191862.907087505</v>
      </c>
      <c r="J27" s="108">
        <f t="shared" si="4"/>
        <v>4.7966467061883167</v>
      </c>
      <c r="M27" s="170"/>
      <c r="N27" s="170"/>
      <c r="O27" s="170"/>
      <c r="P27" s="170"/>
      <c r="Q27" s="170"/>
    </row>
    <row r="28" spans="2:17">
      <c r="B28" s="94"/>
      <c r="C28" s="177">
        <f>'III. CF - Concessionaire'!B31</f>
        <v>2036</v>
      </c>
      <c r="D28" s="72">
        <f>'Data Input'!AC29</f>
        <v>5817000</v>
      </c>
      <c r="E28" s="73">
        <f>'Data Input'!AD29</f>
        <v>4645230.4499999993</v>
      </c>
      <c r="F28" s="73">
        <f>'Data Input'!AE29</f>
        <v>10462230.449999999</v>
      </c>
      <c r="G28" s="73">
        <f>IF(C28&lt;=YEAR('I. Assumptions'!$E$33), -'V. Debt Cvrg - Concessionaire'!E28, 0)</f>
        <v>0</v>
      </c>
      <c r="H28" s="74">
        <f t="shared" si="3"/>
        <v>10462230.449999999</v>
      </c>
      <c r="I28" s="71">
        <f>'III. CF - Concessionaire'!G31</f>
        <v>54303930.213448077</v>
      </c>
      <c r="J28" s="108">
        <f t="shared" si="4"/>
        <v>5.1904735298053088</v>
      </c>
      <c r="M28" s="170"/>
      <c r="N28" s="170"/>
      <c r="O28" s="170"/>
      <c r="P28" s="170"/>
      <c r="Q28" s="170"/>
    </row>
    <row r="29" spans="2:17">
      <c r="B29" s="94"/>
      <c r="C29" s="177">
        <f>'III. CF - Concessionaire'!B32</f>
        <v>2037</v>
      </c>
      <c r="D29" s="72">
        <f>'Data Input'!AC30</f>
        <v>6142500</v>
      </c>
      <c r="E29" s="73">
        <f>'Data Input'!AD30</f>
        <v>4319301.5249999994</v>
      </c>
      <c r="F29" s="73">
        <f>'Data Input'!AE30</f>
        <v>10461801.524999999</v>
      </c>
      <c r="G29" s="73">
        <f>IF(C29&lt;=YEAR('I. Assumptions'!$E$33), -'V. Debt Cvrg - Concessionaire'!E29, 0)</f>
        <v>0</v>
      </c>
      <c r="H29" s="74">
        <f t="shared" si="3"/>
        <v>10461801.524999999</v>
      </c>
      <c r="I29" s="71">
        <f>'III. CF - Concessionaire'!G32</f>
        <v>58696917.509910017</v>
      </c>
      <c r="J29" s="108">
        <f t="shared" si="4"/>
        <v>5.6105936792669198</v>
      </c>
      <c r="M29" s="170"/>
      <c r="N29" s="170"/>
      <c r="O29" s="170"/>
      <c r="P29" s="170"/>
      <c r="Q29" s="170"/>
    </row>
    <row r="30" spans="2:17">
      <c r="B30" s="94"/>
      <c r="C30" s="177">
        <f>'III. CF - Concessionaire'!B33</f>
        <v>2038</v>
      </c>
      <c r="D30" s="72">
        <f>'Data Input'!AC31</f>
        <v>6492500</v>
      </c>
      <c r="E30" s="73">
        <f>'Data Input'!AD31</f>
        <v>3972111.15</v>
      </c>
      <c r="F30" s="73">
        <f>'Data Input'!AE31</f>
        <v>10464611.149999999</v>
      </c>
      <c r="G30" s="73">
        <f>IF(C30&lt;=YEAR('I. Assumptions'!$E$33), -'V. Debt Cvrg - Concessionaire'!E30, 0)</f>
        <v>0</v>
      </c>
      <c r="H30" s="74">
        <f t="shared" si="3"/>
        <v>10464611.149999999</v>
      </c>
      <c r="I30" s="71">
        <f>'III. CF - Concessionaire'!G33</f>
        <v>63390016.126517028</v>
      </c>
      <c r="J30" s="108">
        <f t="shared" si="4"/>
        <v>6.0575605933066168</v>
      </c>
      <c r="M30" s="170"/>
      <c r="N30" s="170"/>
      <c r="O30" s="170"/>
      <c r="P30" s="170"/>
      <c r="Q30" s="170"/>
    </row>
    <row r="31" spans="2:17">
      <c r="B31" s="94"/>
      <c r="C31" s="177">
        <f>'III. CF - Concessionaire'!B34</f>
        <v>2039</v>
      </c>
      <c r="D31" s="72">
        <f>'Data Input'!AC32</f>
        <v>6860000</v>
      </c>
      <c r="E31" s="73">
        <f>'Data Input'!AD32</f>
        <v>3602210.15</v>
      </c>
      <c r="F31" s="73">
        <f>'Data Input'!AE32</f>
        <v>10462210.149999999</v>
      </c>
      <c r="G31" s="73">
        <f>IF(C31&lt;=YEAR('I. Assumptions'!$E$33), -'V. Debt Cvrg - Concessionaire'!E31, 0)</f>
        <v>0</v>
      </c>
      <c r="H31" s="74">
        <f t="shared" si="3"/>
        <v>10462210.149999999</v>
      </c>
      <c r="I31" s="71">
        <f>'III. CF - Concessionaire'!G34</f>
        <v>68403728.468216151</v>
      </c>
      <c r="J31" s="108">
        <f t="shared" si="4"/>
        <v>6.5381719051223763</v>
      </c>
      <c r="M31" s="170"/>
      <c r="N31" s="170"/>
      <c r="O31" s="170"/>
      <c r="P31" s="170"/>
      <c r="Q31" s="170"/>
    </row>
    <row r="32" spans="2:17">
      <c r="B32" s="94"/>
      <c r="C32" s="177">
        <f>'III. CF - Concessionaire'!B35</f>
        <v>2040</v>
      </c>
      <c r="D32" s="72">
        <f>'Data Input'!AC33</f>
        <v>7255500</v>
      </c>
      <c r="E32" s="73">
        <f>'Data Input'!AD33</f>
        <v>3208348.15</v>
      </c>
      <c r="F32" s="73">
        <f>'Data Input'!AE33</f>
        <v>10463848.149999999</v>
      </c>
      <c r="G32" s="73">
        <f>IF(C32&lt;=YEAR('I. Assumptions'!$E$33), -'V. Debt Cvrg - Concessionaire'!E32, 0)</f>
        <v>0</v>
      </c>
      <c r="H32" s="74">
        <f t="shared" si="3"/>
        <v>10463848.149999999</v>
      </c>
      <c r="I32" s="71">
        <f>'III. CF - Concessionaire'!G35</f>
        <v>73759957.582250774</v>
      </c>
      <c r="J32" s="108">
        <f t="shared" si="4"/>
        <v>7.0490279030139389</v>
      </c>
      <c r="M32" s="170"/>
      <c r="N32" s="170"/>
      <c r="O32" s="170"/>
      <c r="P32" s="170"/>
      <c r="Q32" s="170"/>
    </row>
    <row r="33" spans="2:17">
      <c r="B33" s="94"/>
      <c r="C33" s="177">
        <f>'III. CF - Concessionaire'!B36</f>
        <v>2041</v>
      </c>
      <c r="D33" s="72">
        <f>'Data Input'!AC34</f>
        <v>7671999.9999999991</v>
      </c>
      <c r="E33" s="73">
        <f>'Data Input'!AD34</f>
        <v>2789994.55</v>
      </c>
      <c r="F33" s="73">
        <f>'Data Input'!AE34</f>
        <v>10461994.549999999</v>
      </c>
      <c r="G33" s="73">
        <f>IF(C33&lt;=YEAR('I. Assumptions'!$E$33), -'V. Debt Cvrg - Concessionaire'!E33, 0)</f>
        <v>0</v>
      </c>
      <c r="H33" s="74">
        <f t="shared" si="3"/>
        <v>10461994.549999999</v>
      </c>
      <c r="I33" s="71">
        <f>'III. CF - Concessionaire'!G36</f>
        <v>76272756.309718341</v>
      </c>
      <c r="J33" s="108">
        <f t="shared" si="4"/>
        <v>7.2904603367164196</v>
      </c>
      <c r="M33" s="170"/>
      <c r="N33" s="170"/>
      <c r="O33" s="170"/>
      <c r="P33" s="170"/>
      <c r="Q33" s="170"/>
    </row>
    <row r="34" spans="2:17">
      <c r="B34" s="94"/>
      <c r="C34" s="177">
        <f>'III. CF - Concessionaire'!B37</f>
        <v>2042</v>
      </c>
      <c r="D34" s="72">
        <f>'Data Input'!AC35</f>
        <v>8116499.9999999991</v>
      </c>
      <c r="E34" s="73">
        <f>'Data Input'!AD35</f>
        <v>2346315.4749999996</v>
      </c>
      <c r="F34" s="73">
        <f>'Data Input'!AE35</f>
        <v>10462815.475</v>
      </c>
      <c r="G34" s="73">
        <f>IF(C34&lt;=YEAR('I. Assumptions'!$E$33), -'V. Debt Cvrg - Concessionaire'!E34, 0)</f>
        <v>0</v>
      </c>
      <c r="H34" s="74">
        <f t="shared" si="3"/>
        <v>10462815.475</v>
      </c>
      <c r="I34" s="71">
        <f>'III. CF - Concessionaire'!G37</f>
        <v>78860938.999009907</v>
      </c>
      <c r="J34" s="108">
        <f t="shared" si="4"/>
        <v>7.5372579385961034</v>
      </c>
      <c r="M34" s="170"/>
      <c r="N34" s="170"/>
      <c r="O34" s="170"/>
      <c r="P34" s="170"/>
      <c r="Q34" s="170"/>
    </row>
    <row r="35" spans="2:17">
      <c r="B35" s="94"/>
      <c r="C35" s="177">
        <f>'III. CF - Concessionaire'!B38</f>
        <v>2043</v>
      </c>
      <c r="D35" s="72">
        <f>'Data Input'!AC36</f>
        <v>8589000</v>
      </c>
      <c r="E35" s="73">
        <f>'Data Input'!AD36</f>
        <v>1875626.2</v>
      </c>
      <c r="F35" s="73">
        <f>'Data Input'!AE36</f>
        <v>10464626.199999999</v>
      </c>
      <c r="G35" s="73">
        <f>IF(C35&lt;=YEAR('I. Assumptions'!$E$33), -'V. Debt Cvrg - Concessionaire'!E35, 0)</f>
        <v>0</v>
      </c>
      <c r="H35" s="74">
        <f t="shared" si="3"/>
        <v>10464626.199999999</v>
      </c>
      <c r="I35" s="71">
        <f>'III. CF - Concessionaire'!G38</f>
        <v>81526767.168980181</v>
      </c>
      <c r="J35" s="108">
        <f t="shared" si="4"/>
        <v>7.7907003662472132</v>
      </c>
      <c r="M35" s="170"/>
      <c r="N35" s="170"/>
      <c r="O35" s="170"/>
      <c r="P35" s="170"/>
      <c r="Q35" s="170"/>
    </row>
    <row r="36" spans="2:17">
      <c r="B36" s="94"/>
      <c r="C36" s="177">
        <f>'III. CF - Concessionaire'!B39</f>
        <v>2044</v>
      </c>
      <c r="D36" s="72">
        <f>'Data Input'!AC37</f>
        <v>9086000</v>
      </c>
      <c r="E36" s="73">
        <f>'Data Input'!AD37</f>
        <v>1376736.9</v>
      </c>
      <c r="F36" s="73">
        <f>'Data Input'!AE37</f>
        <v>10462736.899999999</v>
      </c>
      <c r="G36" s="73">
        <f>IF(C36&lt;=YEAR('I. Assumptions'!$E$33), -'V. Debt Cvrg - Concessionaire'!E36, 0)</f>
        <v>0</v>
      </c>
      <c r="H36" s="74">
        <f t="shared" si="3"/>
        <v>10462736.899999999</v>
      </c>
      <c r="I36" s="71">
        <f>'III. CF - Concessionaire'!G39</f>
        <v>84272570.184049606</v>
      </c>
      <c r="J36" s="108">
        <f t="shared" si="4"/>
        <v>8.0545435663253286</v>
      </c>
      <c r="M36" s="170"/>
      <c r="N36" s="170"/>
      <c r="O36" s="170"/>
      <c r="P36" s="170"/>
      <c r="Q36" s="170"/>
    </row>
    <row r="37" spans="2:17">
      <c r="B37" s="94"/>
      <c r="C37" s="177">
        <f>'III. CF - Concessionaire'!B40</f>
        <v>2045</v>
      </c>
      <c r="D37" s="72">
        <f>'Data Input'!AC38</f>
        <v>9614500</v>
      </c>
      <c r="E37" s="73">
        <f>'Data Input'!AD38</f>
        <v>847967.04999999993</v>
      </c>
      <c r="F37" s="73">
        <f>'Data Input'!AE38</f>
        <v>10462467.049999999</v>
      </c>
      <c r="G37" s="73">
        <f>IF(C37&lt;=YEAR('I. Assumptions'!$E$33), -'V. Debt Cvrg - Concessionaire'!E37, 0)</f>
        <v>0</v>
      </c>
      <c r="H37" s="74">
        <f t="shared" si="3"/>
        <v>10462467.049999999</v>
      </c>
      <c r="I37" s="71">
        <f>'III. CF - Concessionaire'!G40</f>
        <v>84272570.184049606</v>
      </c>
      <c r="J37" s="108">
        <f t="shared" si="4"/>
        <v>8.0547513106910689</v>
      </c>
      <c r="M37" s="170"/>
      <c r="N37" s="170"/>
      <c r="O37" s="170"/>
      <c r="P37" s="170"/>
      <c r="Q37" s="170"/>
    </row>
    <row r="38" spans="2:17">
      <c r="B38" s="94"/>
      <c r="C38" s="177">
        <f>'III. CF - Concessionaire'!B41</f>
        <v>2046</v>
      </c>
      <c r="D38" s="72">
        <f>'Data Input'!AC39</f>
        <v>10174500</v>
      </c>
      <c r="E38" s="73">
        <f>'Data Input'!AD39</f>
        <v>287938.34999999998</v>
      </c>
      <c r="F38" s="73">
        <f>'Data Input'!AE39</f>
        <v>10462438.35</v>
      </c>
      <c r="G38" s="73">
        <f>IF(C38&lt;=YEAR('I. Assumptions'!$E$33), -'V. Debt Cvrg - Concessionaire'!E38, 0)</f>
        <v>0</v>
      </c>
      <c r="H38" s="74">
        <f t="shared" si="3"/>
        <v>10462438.35</v>
      </c>
      <c r="I38" s="71">
        <f>'III. CF - Concessionaire'!G41</f>
        <v>84272570.184049606</v>
      </c>
      <c r="J38" s="108">
        <f t="shared" si="4"/>
        <v>8.0547734060530551</v>
      </c>
      <c r="M38" s="170"/>
      <c r="N38" s="170"/>
      <c r="O38" s="170"/>
      <c r="P38" s="170"/>
      <c r="Q38" s="170"/>
    </row>
    <row r="39" spans="2:17">
      <c r="B39" s="94"/>
      <c r="C39" s="177">
        <f>'III. CF - Concessionaire'!B42</f>
        <v>2047</v>
      </c>
      <c r="D39" s="72">
        <f>'Data Input'!AC40</f>
        <v>0</v>
      </c>
      <c r="E39" s="73">
        <f>'Data Input'!AD40</f>
        <v>0</v>
      </c>
      <c r="F39" s="73">
        <f>'Data Input'!AE40</f>
        <v>0</v>
      </c>
      <c r="G39" s="73">
        <f>IF(C39&lt;=YEAR('I. Assumptions'!$E$33), -'V. Debt Cvrg - Concessionaire'!E39, 0)</f>
        <v>0</v>
      </c>
      <c r="H39" s="74">
        <f t="shared" si="3"/>
        <v>0</v>
      </c>
      <c r="I39" s="71"/>
      <c r="J39" s="108" t="str">
        <f t="shared" si="4"/>
        <v/>
      </c>
      <c r="M39" s="170"/>
      <c r="N39" s="170"/>
      <c r="O39" s="170"/>
      <c r="P39" s="170"/>
      <c r="Q39" s="170"/>
    </row>
    <row r="40" spans="2:17">
      <c r="B40" s="94"/>
      <c r="C40" s="177">
        <f>'III. CF - Concessionaire'!B43</f>
        <v>2048</v>
      </c>
      <c r="D40" s="72">
        <f>'Data Input'!AC41</f>
        <v>0</v>
      </c>
      <c r="E40" s="73">
        <f>'Data Input'!AD41</f>
        <v>0</v>
      </c>
      <c r="F40" s="73">
        <f>'Data Input'!AE41</f>
        <v>0</v>
      </c>
      <c r="G40" s="73">
        <f>IF(C40&lt;=YEAR('I. Assumptions'!$E$33), -'V. Debt Cvrg - Concessionaire'!E40, 0)</f>
        <v>0</v>
      </c>
      <c r="H40" s="74">
        <f t="shared" si="3"/>
        <v>0</v>
      </c>
      <c r="I40" s="71"/>
      <c r="J40" s="108" t="str">
        <f t="shared" si="4"/>
        <v/>
      </c>
      <c r="M40" s="170"/>
      <c r="N40" s="170"/>
      <c r="O40" s="170"/>
      <c r="P40" s="170"/>
      <c r="Q40" s="170"/>
    </row>
    <row r="41" spans="2:17">
      <c r="B41" s="94"/>
      <c r="C41" s="177">
        <f>'III. CF - Concessionaire'!B44</f>
        <v>2049</v>
      </c>
      <c r="D41" s="72">
        <f>'Data Input'!AC42</f>
        <v>0</v>
      </c>
      <c r="E41" s="73">
        <f>'Data Input'!AD42</f>
        <v>0</v>
      </c>
      <c r="F41" s="73">
        <f>'Data Input'!AE42</f>
        <v>0</v>
      </c>
      <c r="G41" s="73">
        <f>IF(C41&lt;=YEAR('I. Assumptions'!$E$33), -'V. Debt Cvrg - Concessionaire'!E41, 0)</f>
        <v>0</v>
      </c>
      <c r="H41" s="74">
        <f t="shared" si="3"/>
        <v>0</v>
      </c>
      <c r="I41" s="71"/>
      <c r="J41" s="108" t="str">
        <f t="shared" si="4"/>
        <v/>
      </c>
      <c r="M41" s="170"/>
      <c r="N41" s="170"/>
      <c r="O41" s="170"/>
      <c r="P41" s="170"/>
      <c r="Q41" s="170"/>
    </row>
    <row r="42" spans="2:17">
      <c r="B42" s="94"/>
      <c r="C42" s="177">
        <f>'III. CF - Concessionaire'!B45</f>
        <v>2050</v>
      </c>
      <c r="D42" s="72">
        <f>'Data Input'!AC43</f>
        <v>0</v>
      </c>
      <c r="E42" s="73">
        <f>'Data Input'!AD43</f>
        <v>0</v>
      </c>
      <c r="F42" s="73">
        <f>'Data Input'!AE43</f>
        <v>0</v>
      </c>
      <c r="G42" s="73">
        <f>IF(C42&lt;=YEAR('I. Assumptions'!$E$33), -'V. Debt Cvrg - Concessionaire'!E42, 0)</f>
        <v>0</v>
      </c>
      <c r="H42" s="74">
        <f t="shared" si="3"/>
        <v>0</v>
      </c>
      <c r="I42" s="71"/>
      <c r="J42" s="108" t="str">
        <f t="shared" si="4"/>
        <v/>
      </c>
      <c r="M42" s="170"/>
      <c r="N42" s="170"/>
      <c r="O42" s="170"/>
      <c r="P42" s="170"/>
      <c r="Q42" s="170"/>
    </row>
    <row r="43" spans="2:17">
      <c r="B43" s="94"/>
      <c r="C43" s="177">
        <f>'III. CF - Concessionaire'!B46</f>
        <v>2051</v>
      </c>
      <c r="D43" s="72">
        <f>'Data Input'!AC44</f>
        <v>0</v>
      </c>
      <c r="E43" s="73">
        <f>'Data Input'!AD44</f>
        <v>0</v>
      </c>
      <c r="F43" s="73">
        <f>'Data Input'!AE44</f>
        <v>0</v>
      </c>
      <c r="G43" s="73">
        <f>IF(C43&lt;=YEAR('I. Assumptions'!$E$33), -'V. Debt Cvrg - Concessionaire'!E43, 0)</f>
        <v>0</v>
      </c>
      <c r="H43" s="74">
        <f t="shared" si="3"/>
        <v>0</v>
      </c>
      <c r="I43" s="71"/>
      <c r="J43" s="108" t="str">
        <f t="shared" si="4"/>
        <v/>
      </c>
      <c r="M43" s="170"/>
      <c r="N43" s="170"/>
      <c r="O43" s="170"/>
      <c r="P43" s="170"/>
      <c r="Q43" s="170"/>
    </row>
    <row r="44" spans="2:17">
      <c r="B44" s="94"/>
      <c r="C44" s="177">
        <f>'III. CF - Concessionaire'!B47</f>
        <v>2052</v>
      </c>
      <c r="D44" s="72">
        <f>'Data Input'!AC45</f>
        <v>0</v>
      </c>
      <c r="E44" s="73">
        <f>'Data Input'!AD45</f>
        <v>0</v>
      </c>
      <c r="F44" s="73">
        <f>'Data Input'!AE45</f>
        <v>0</v>
      </c>
      <c r="G44" s="73">
        <f>IF(C44&lt;=YEAR('I. Assumptions'!$E$33), -'V. Debt Cvrg - Concessionaire'!E44, 0)</f>
        <v>0</v>
      </c>
      <c r="H44" s="74">
        <f t="shared" si="3"/>
        <v>0</v>
      </c>
      <c r="I44" s="71"/>
      <c r="J44" s="108" t="str">
        <f t="shared" si="4"/>
        <v/>
      </c>
      <c r="M44" s="170"/>
      <c r="N44" s="170"/>
      <c r="O44" s="170"/>
      <c r="P44" s="170"/>
      <c r="Q44" s="170"/>
    </row>
    <row r="45" spans="2:17">
      <c r="B45" s="94"/>
      <c r="C45" s="177">
        <f>'III. CF - Concessionaire'!B48</f>
        <v>2053</v>
      </c>
      <c r="D45" s="72">
        <f>'Data Input'!AC46</f>
        <v>0</v>
      </c>
      <c r="E45" s="73">
        <f>'Data Input'!AD46</f>
        <v>0</v>
      </c>
      <c r="F45" s="73">
        <f>'Data Input'!AE46</f>
        <v>0</v>
      </c>
      <c r="G45" s="73">
        <f>IF(C45&lt;=YEAR('I. Assumptions'!$E$33), -'V. Debt Cvrg - Concessionaire'!E45, 0)</f>
        <v>0</v>
      </c>
      <c r="H45" s="74">
        <f t="shared" si="3"/>
        <v>0</v>
      </c>
      <c r="I45" s="71"/>
      <c r="J45" s="108" t="str">
        <f t="shared" si="4"/>
        <v/>
      </c>
      <c r="M45" s="170"/>
      <c r="N45" s="170"/>
      <c r="O45" s="170"/>
      <c r="P45" s="170"/>
      <c r="Q45" s="170"/>
    </row>
    <row r="46" spans="2:17">
      <c r="B46" s="94"/>
      <c r="C46" s="177">
        <f>'III. CF - Concessionaire'!B49</f>
        <v>2054</v>
      </c>
      <c r="D46" s="72">
        <f>'Data Input'!AC47</f>
        <v>0</v>
      </c>
      <c r="E46" s="73">
        <f>'Data Input'!AD47</f>
        <v>0</v>
      </c>
      <c r="F46" s="73">
        <f>'Data Input'!AE47</f>
        <v>0</v>
      </c>
      <c r="G46" s="73">
        <f>IF(C46&lt;=YEAR('I. Assumptions'!$E$33), -'V. Debt Cvrg - Concessionaire'!E46, 0)</f>
        <v>0</v>
      </c>
      <c r="H46" s="74">
        <f t="shared" si="3"/>
        <v>0</v>
      </c>
      <c r="I46" s="71"/>
      <c r="J46" s="108" t="str">
        <f t="shared" si="4"/>
        <v/>
      </c>
      <c r="M46" s="170"/>
      <c r="N46" s="170"/>
      <c r="O46" s="170"/>
      <c r="P46" s="170"/>
      <c r="Q46" s="170"/>
    </row>
    <row r="47" spans="2:17">
      <c r="B47" s="94"/>
      <c r="C47" s="192">
        <f>'III. CF - Concessionaire'!B50</f>
        <v>2055</v>
      </c>
      <c r="D47" s="76">
        <f>'Data Input'!AC48</f>
        <v>0</v>
      </c>
      <c r="E47" s="77">
        <f>'Data Input'!AD48</f>
        <v>0</v>
      </c>
      <c r="F47" s="77">
        <f>'Data Input'!AE48</f>
        <v>0</v>
      </c>
      <c r="G47" s="77">
        <f>IF(C47&lt;=YEAR('I. Assumptions'!$E$33), -'V. Debt Cvrg - Concessionaire'!E47, 0)</f>
        <v>0</v>
      </c>
      <c r="H47" s="78">
        <f t="shared" si="3"/>
        <v>0</v>
      </c>
      <c r="I47" s="75"/>
      <c r="J47" s="109" t="str">
        <f t="shared" si="4"/>
        <v/>
      </c>
      <c r="M47" s="170"/>
      <c r="N47" s="170"/>
      <c r="O47" s="170"/>
      <c r="P47" s="170"/>
      <c r="Q47" s="170"/>
    </row>
    <row r="48" spans="2:17" hidden="1">
      <c r="C48" s="69">
        <f>'III. CF - Concessionaire'!B51</f>
        <v>2056</v>
      </c>
      <c r="D48" s="56" t="e">
        <f>VLOOKUP(EDATE(C48, 6),#REF!, 2, 0)</f>
        <v>#REF!</v>
      </c>
      <c r="E48" s="57"/>
      <c r="F48" s="57"/>
      <c r="G48" s="57"/>
      <c r="H48" s="55"/>
      <c r="I48" s="5"/>
      <c r="J48" s="5"/>
    </row>
    <row r="49" spans="3:10" hidden="1">
      <c r="C49" s="69"/>
      <c r="D49" s="56"/>
      <c r="E49" s="57"/>
      <c r="F49" s="57"/>
      <c r="G49" s="57"/>
      <c r="H49" s="55"/>
      <c r="I49" s="5"/>
      <c r="J49" s="5"/>
    </row>
    <row r="50" spans="3:10" hidden="1">
      <c r="C50" s="69"/>
      <c r="D50" s="56"/>
      <c r="E50" s="57"/>
      <c r="F50" s="57"/>
      <c r="G50" s="57"/>
      <c r="H50" s="55"/>
      <c r="I50" s="5"/>
      <c r="J50" s="5"/>
    </row>
    <row r="51" spans="3:10" hidden="1">
      <c r="C51" s="69"/>
      <c r="D51" s="56"/>
      <c r="E51" s="57"/>
      <c r="F51" s="57"/>
      <c r="G51" s="57"/>
      <c r="H51" s="55"/>
      <c r="I51" s="5"/>
      <c r="J51" s="5"/>
    </row>
    <row r="52" spans="3:10" hidden="1">
      <c r="C52" s="69"/>
      <c r="D52" s="56"/>
      <c r="E52" s="57"/>
      <c r="F52" s="57"/>
      <c r="G52" s="57"/>
      <c r="H52" s="55"/>
      <c r="I52" s="5"/>
      <c r="J52" s="5"/>
    </row>
    <row r="53" spans="3:10" hidden="1">
      <c r="C53" s="69"/>
      <c r="D53" s="56"/>
      <c r="E53" s="57"/>
      <c r="F53" s="57"/>
      <c r="G53" s="57"/>
      <c r="H53" s="55"/>
      <c r="I53" s="5"/>
      <c r="J53" s="5"/>
    </row>
    <row r="54" spans="3:10" hidden="1">
      <c r="C54" s="69"/>
      <c r="D54" s="56"/>
      <c r="E54" s="57"/>
      <c r="F54" s="57"/>
      <c r="G54" s="57"/>
      <c r="H54" s="55"/>
      <c r="I54" s="5"/>
      <c r="J54" s="5"/>
    </row>
    <row r="55" spans="3:10" hidden="1">
      <c r="C55" s="69"/>
      <c r="D55" s="56"/>
      <c r="E55" s="57"/>
      <c r="F55" s="57"/>
      <c r="G55" s="57"/>
      <c r="H55" s="55"/>
      <c r="I55" s="5"/>
      <c r="J55" s="5"/>
    </row>
    <row r="56" spans="3:10" hidden="1">
      <c r="C56" s="69"/>
      <c r="D56" s="56"/>
      <c r="E56" s="57"/>
      <c r="F56" s="57"/>
      <c r="G56" s="57"/>
      <c r="H56" s="55"/>
      <c r="I56" s="5"/>
      <c r="J56" s="5"/>
    </row>
    <row r="57" spans="3:10" hidden="1">
      <c r="C57" s="88"/>
      <c r="D57" s="58"/>
      <c r="E57" s="59"/>
      <c r="F57" s="59"/>
      <c r="G57" s="59"/>
      <c r="H57" s="54"/>
      <c r="I57" s="4"/>
      <c r="J57" s="4"/>
    </row>
    <row r="58" spans="3:10">
      <c r="C58" s="2" t="s">
        <v>5</v>
      </c>
      <c r="D58" s="116">
        <f>SUM(D7:D47)</f>
        <v>139569500</v>
      </c>
      <c r="E58" s="116">
        <f t="shared" ref="E58:I58" si="5">SUM(E7:E47)</f>
        <v>163822813.34999999</v>
      </c>
      <c r="F58" s="116">
        <f t="shared" si="5"/>
        <v>303392313.35000002</v>
      </c>
      <c r="G58" s="116">
        <f t="shared" si="5"/>
        <v>-22446292.049999997</v>
      </c>
      <c r="H58" s="116">
        <f t="shared" si="5"/>
        <v>280946021.30000001</v>
      </c>
      <c r="I58" s="116">
        <f t="shared" si="5"/>
        <v>1312028138.7692685</v>
      </c>
    </row>
    <row r="59" spans="3:10"/>
    <row r="60" spans="3:10"/>
    <row r="61" spans="3:10"/>
    <row r="62" spans="3:10"/>
    <row r="63" spans="3:10"/>
    <row r="64" spans="3:10"/>
    <row r="65"/>
    <row r="66"/>
  </sheetData>
  <mergeCells count="2">
    <mergeCell ref="D5:H5"/>
    <mergeCell ref="C5:C6"/>
  </mergeCells>
  <printOptions horizontalCentered="1"/>
  <pageMargins left="0.7" right="0.7" top="0.75" bottom="0.75" header="0.3" footer="0.3"/>
  <pageSetup scale="89" orientation="landscape" r:id="rId1"/>
  <headerFooter scaleWithDoc="0">
    <oddFooter xml:space="preserve">&amp;L&amp;"Arial,Regular"&amp;7Port Concession Evaluation Model&amp;R&amp;"Arial,Regular"&amp;7Copyright Public Financial Management, Inc. </oddFooter>
  </headerFooter>
  <ignoredErrors>
    <ignoredError sqref="G58"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tint="0.59999389629810485"/>
    <pageSetUpPr autoPageBreaks="0"/>
  </sheetPr>
  <dimension ref="A1:AI57"/>
  <sheetViews>
    <sheetView tabSelected="1" zoomScaleNormal="100" workbookViewId="0">
      <selection activeCell="B1" sqref="B1"/>
    </sheetView>
  </sheetViews>
  <sheetFormatPr defaultColWidth="0" defaultRowHeight="13.2" zeroHeight="1"/>
  <cols>
    <col min="1" max="1" width="9.375" style="1" customWidth="1"/>
    <col min="2" max="2" width="11.875" style="1" bestFit="1" customWidth="1"/>
    <col min="3" max="3" width="9.375" style="2" customWidth="1"/>
    <col min="4" max="4" width="14.375" style="130" customWidth="1"/>
    <col min="5" max="6" width="13.5" style="130" customWidth="1"/>
    <col min="7" max="7" width="16.125" style="130" customWidth="1"/>
    <col min="8" max="8" width="18.5" style="130" customWidth="1"/>
    <col min="9" max="9" width="25.625" style="130" customWidth="1"/>
    <col min="10" max="14" width="16.125" style="130" customWidth="1"/>
    <col min="15" max="15" width="15.125" style="2" customWidth="1"/>
    <col min="16" max="16" width="15.125" style="130" customWidth="1"/>
    <col min="17" max="19" width="14.625" style="130" customWidth="1"/>
    <col min="20" max="20" width="17.625" style="130" customWidth="1"/>
    <col min="21" max="21" width="15.125" style="2" customWidth="1"/>
    <col min="22" max="22" width="20.625" style="2" customWidth="1"/>
    <col min="23" max="23" width="15.125" style="2" customWidth="1"/>
    <col min="24" max="24" width="17.375" style="2" customWidth="1"/>
    <col min="25" max="25" width="14.875" style="1" customWidth="1"/>
    <col min="26" max="26" width="15.875" style="1" customWidth="1"/>
    <col min="27" max="27" width="9.375" style="1" customWidth="1"/>
    <col min="28" max="28" width="12.375" style="1" bestFit="1" customWidth="1"/>
    <col min="29" max="29" width="9.625" style="1" bestFit="1" customWidth="1"/>
    <col min="30" max="30" width="9.375" style="1" hidden="1" customWidth="1"/>
    <col min="31" max="31" width="11.125" style="1" hidden="1" customWidth="1"/>
    <col min="32" max="33" width="9.375" style="1" hidden="1" customWidth="1"/>
    <col min="34" max="34" width="14.5" style="1" hidden="1" customWidth="1"/>
    <col min="35" max="35" width="9.625" style="1" hidden="1" customWidth="1"/>
    <col min="36" max="16384" width="9.375" style="1" hidden="1"/>
  </cols>
  <sheetData>
    <row r="1" spans="2:35"/>
    <row r="2" spans="2:35"/>
    <row r="3" spans="2:35" ht="13.8">
      <c r="C3" s="6" t="str">
        <f>"VI. Debt Service and Debt Service Coverage Ratios - "&amp;TEXT('I. Assumptions'!E7, "General")</f>
        <v>VI. Debt Service and Debt Service Coverage Ratios - AAPA Port Authority</v>
      </c>
      <c r="P3" s="6" t="str">
        <f>"VI. Debt Service and Debt Service Coverage Ratios - "&amp;TEXT('I. Assumptions'!E7, "General")</f>
        <v>VI. Debt Service and Debt Service Coverage Ratios - AAPA Port Authority</v>
      </c>
    </row>
    <row r="4" spans="2:35"/>
    <row r="5" spans="2:35" ht="12.75" customHeight="1">
      <c r="C5" s="259" t="s">
        <v>0</v>
      </c>
      <c r="D5" s="257" t="s">
        <v>29</v>
      </c>
      <c r="E5" s="257"/>
      <c r="F5" s="257"/>
      <c r="G5" s="257"/>
      <c r="H5" s="257"/>
      <c r="I5" s="257"/>
      <c r="J5" s="257"/>
      <c r="K5" s="257"/>
      <c r="L5" s="257"/>
      <c r="M5" s="257"/>
      <c r="N5" s="257"/>
      <c r="O5" s="258"/>
      <c r="P5" s="259" t="str">
        <f t="shared" ref="P5:P39" si="0">C5</f>
        <v>Year</v>
      </c>
      <c r="Q5" s="265" t="s">
        <v>84</v>
      </c>
      <c r="R5" s="265"/>
      <c r="S5" s="265"/>
      <c r="T5" s="265"/>
      <c r="U5" s="265"/>
      <c r="V5" s="266"/>
      <c r="W5" s="126" t="s">
        <v>53</v>
      </c>
      <c r="X5" s="105"/>
      <c r="Y5" s="89" t="s">
        <v>41</v>
      </c>
      <c r="Z5" s="89" t="s">
        <v>53</v>
      </c>
    </row>
    <row r="6" spans="2:35">
      <c r="C6" s="261"/>
      <c r="D6" s="262" t="s">
        <v>85</v>
      </c>
      <c r="E6" s="263"/>
      <c r="F6" s="263"/>
      <c r="G6" s="264"/>
      <c r="H6" s="262" t="s">
        <v>86</v>
      </c>
      <c r="I6" s="264"/>
      <c r="J6" s="262" t="s">
        <v>87</v>
      </c>
      <c r="K6" s="263"/>
      <c r="L6" s="263"/>
      <c r="M6" s="264"/>
      <c r="N6" s="96" t="s">
        <v>46</v>
      </c>
      <c r="O6" s="92" t="s">
        <v>5</v>
      </c>
      <c r="P6" s="261"/>
      <c r="Q6" s="262" t="s">
        <v>85</v>
      </c>
      <c r="R6" s="263"/>
      <c r="S6" s="263"/>
      <c r="T6" s="264"/>
      <c r="U6" s="96" t="s">
        <v>46</v>
      </c>
      <c r="V6" s="92" t="s">
        <v>5</v>
      </c>
      <c r="W6" s="127" t="s">
        <v>47</v>
      </c>
      <c r="X6" s="106" t="s">
        <v>49</v>
      </c>
      <c r="Y6" s="98" t="s">
        <v>67</v>
      </c>
      <c r="Z6" s="98" t="s">
        <v>67</v>
      </c>
    </row>
    <row r="7" spans="2:35">
      <c r="C7" s="260"/>
      <c r="D7" s="99" t="s">
        <v>6</v>
      </c>
      <c r="E7" s="101" t="s">
        <v>4</v>
      </c>
      <c r="F7" s="101" t="s">
        <v>66</v>
      </c>
      <c r="G7" s="100" t="s">
        <v>30</v>
      </c>
      <c r="H7" s="137" t="s">
        <v>64</v>
      </c>
      <c r="I7" s="138" t="s">
        <v>63</v>
      </c>
      <c r="J7" s="137" t="s">
        <v>64</v>
      </c>
      <c r="K7" s="136" t="s">
        <v>63</v>
      </c>
      <c r="L7" s="136" t="s">
        <v>4</v>
      </c>
      <c r="M7" s="138" t="s">
        <v>7</v>
      </c>
      <c r="N7" s="97" t="s">
        <v>47</v>
      </c>
      <c r="O7" s="93" t="s">
        <v>69</v>
      </c>
      <c r="P7" s="260"/>
      <c r="Q7" s="99" t="s">
        <v>6</v>
      </c>
      <c r="R7" s="101" t="s">
        <v>4</v>
      </c>
      <c r="S7" s="101" t="s">
        <v>66</v>
      </c>
      <c r="T7" s="100" t="s">
        <v>30</v>
      </c>
      <c r="U7" s="97" t="s">
        <v>47</v>
      </c>
      <c r="V7" s="93" t="s">
        <v>70</v>
      </c>
      <c r="W7" s="128" t="s">
        <v>54</v>
      </c>
      <c r="X7" s="107" t="s">
        <v>9</v>
      </c>
      <c r="Y7" s="90" t="s">
        <v>65</v>
      </c>
      <c r="Z7" s="90" t="s">
        <v>65</v>
      </c>
      <c r="AC7" s="135"/>
      <c r="AF7" s="135"/>
      <c r="AI7" s="135"/>
    </row>
    <row r="8" spans="2:35">
      <c r="C8" s="176">
        <f>'III. CF - Concessionaire'!B10</f>
        <v>2015</v>
      </c>
      <c r="D8" s="72">
        <f>'Data Input'!O8</f>
        <v>0</v>
      </c>
      <c r="E8" s="73">
        <f>'Data Input'!P8</f>
        <v>0</v>
      </c>
      <c r="F8" s="73">
        <f>IF(C8&lt;=YEAR('I. Assumptions'!$E$32), -'VI. Debt Cvrg - Public Entity'!E8, 0)*('I. Assumptions'!$CJ$34=1)</f>
        <v>0</v>
      </c>
      <c r="G8" s="74">
        <f t="shared" ref="G8" si="1">SUM(D8:F8)</f>
        <v>0</v>
      </c>
      <c r="H8" s="72">
        <f>'Data Input'!R8</f>
        <v>0</v>
      </c>
      <c r="I8" s="74">
        <f>'Data Input'!S8</f>
        <v>0</v>
      </c>
      <c r="J8" s="72">
        <f>'Data Input'!T8</f>
        <v>0</v>
      </c>
      <c r="K8" s="73">
        <f>'Data Input'!U8</f>
        <v>0</v>
      </c>
      <c r="L8" s="73">
        <f>'Data Input'!V8</f>
        <v>0</v>
      </c>
      <c r="M8" s="74">
        <f>'Data Input'!W8</f>
        <v>0</v>
      </c>
      <c r="N8" s="74">
        <f>'Data Input'!K8</f>
        <v>13489823.73</v>
      </c>
      <c r="O8" s="71">
        <f>G8+I8+M8+N8</f>
        <v>13489823.73</v>
      </c>
      <c r="P8" s="176">
        <f t="shared" si="0"/>
        <v>2015</v>
      </c>
      <c r="Q8" s="72">
        <f>'Data Input'!X8</f>
        <v>0</v>
      </c>
      <c r="R8" s="73">
        <f>'Data Input'!Y8</f>
        <v>0</v>
      </c>
      <c r="S8" s="73">
        <f>IF(P8&lt;=YEAR('I. Assumptions'!$E$32), -'VI. Debt Cvrg - Public Entity'!R8, 0)*('I. Assumptions'!$CJ$35=1)</f>
        <v>0</v>
      </c>
      <c r="T8" s="74">
        <f t="shared" ref="T8" si="2">R8+S8</f>
        <v>0</v>
      </c>
      <c r="U8" s="73">
        <f>'Data Input'!L8</f>
        <v>5098326.26</v>
      </c>
      <c r="V8" s="71">
        <f>U8+T8</f>
        <v>5098326.26</v>
      </c>
      <c r="W8" s="71">
        <f t="shared" ref="W8:W39" si="3">V8+O8</f>
        <v>18588149.990000002</v>
      </c>
      <c r="X8" s="71">
        <f>'IV. CF - Public Entity'!H6</f>
        <v>22773814.48794971</v>
      </c>
      <c r="Y8" s="108">
        <f>IFERROR(X8/O8, "")</f>
        <v>1.6882217991702186</v>
      </c>
      <c r="Z8" s="108">
        <f t="shared" ref="Z8:Z39" si="4">X8/(O8+V8)</f>
        <v>1.2251791867507793</v>
      </c>
      <c r="AH8" s="141"/>
    </row>
    <row r="9" spans="2:35">
      <c r="B9" s="129"/>
      <c r="C9" s="177">
        <f>'III. CF - Concessionaire'!B11</f>
        <v>2016</v>
      </c>
      <c r="D9" s="72">
        <f>'Data Input'!O9</f>
        <v>0</v>
      </c>
      <c r="E9" s="73">
        <f>'Data Input'!P9</f>
        <v>6529793.5</v>
      </c>
      <c r="F9" s="73">
        <f>IF(C9&lt;=YEAR('I. Assumptions'!$E$32), -'VI. Debt Cvrg - Public Entity'!E9, 0)*('I. Assumptions'!$CJ$34=1)</f>
        <v>-6529793.5</v>
      </c>
      <c r="G9" s="74">
        <f t="shared" ref="G9:G12" si="5">SUM(D9:F9)</f>
        <v>0</v>
      </c>
      <c r="H9" s="72">
        <f>'Data Input'!R9</f>
        <v>0</v>
      </c>
      <c r="I9" s="74">
        <f>'Data Input'!S9</f>
        <v>0</v>
      </c>
      <c r="J9" s="72">
        <f>'Data Input'!T9</f>
        <v>0</v>
      </c>
      <c r="K9" s="73">
        <f>'Data Input'!U9</f>
        <v>0</v>
      </c>
      <c r="L9" s="73">
        <f>'Data Input'!V9</f>
        <v>0</v>
      </c>
      <c r="M9" s="74">
        <f>'Data Input'!W9</f>
        <v>0</v>
      </c>
      <c r="N9" s="74">
        <f>'Data Input'!K9</f>
        <v>13580527.149999999</v>
      </c>
      <c r="O9" s="71">
        <f t="shared" ref="O9:O39" si="6">G9+I9+M9+N9</f>
        <v>13580527.149999999</v>
      </c>
      <c r="P9" s="177">
        <f t="shared" si="0"/>
        <v>2016</v>
      </c>
      <c r="Q9" s="72">
        <f>'Data Input'!X9</f>
        <v>0</v>
      </c>
      <c r="R9" s="73">
        <f>'Data Input'!Y9</f>
        <v>3370800</v>
      </c>
      <c r="S9" s="73">
        <f>IF(P9&lt;=YEAR('I. Assumptions'!$E$32), -'VI. Debt Cvrg - Public Entity'!R9, 0)*('I. Assumptions'!$CJ$35=1)</f>
        <v>-3370800</v>
      </c>
      <c r="T9" s="74">
        <f t="shared" ref="T9:T10" si="7">SUM(Q9:S9)</f>
        <v>0</v>
      </c>
      <c r="U9" s="73">
        <f>'Data Input'!L9</f>
        <v>5098326.26</v>
      </c>
      <c r="V9" s="71">
        <f t="shared" ref="V9:V39" si="8">U9+T9</f>
        <v>5098326.26</v>
      </c>
      <c r="W9" s="71">
        <f t="shared" si="3"/>
        <v>18678853.409999996</v>
      </c>
      <c r="X9" s="71">
        <f>'IV. CF - Public Entity'!H7</f>
        <v>24640555.998876628</v>
      </c>
      <c r="Y9" s="108">
        <f t="shared" ref="Y9:Y48" si="9">IFERROR(X9/O9, "")</f>
        <v>1.8144035004470818</v>
      </c>
      <c r="Z9" s="108">
        <f t="shared" si="4"/>
        <v>1.3191685516245311</v>
      </c>
      <c r="AB9" s="129"/>
      <c r="AE9" s="129"/>
      <c r="AH9" s="129"/>
    </row>
    <row r="10" spans="2:35">
      <c r="B10" s="129"/>
      <c r="C10" s="177">
        <f>'III. CF - Concessionaire'!B12</f>
        <v>2017</v>
      </c>
      <c r="D10" s="72">
        <f>'Data Input'!O10</f>
        <v>0</v>
      </c>
      <c r="E10" s="73">
        <f>'Data Input'!P10</f>
        <v>6529793.5</v>
      </c>
      <c r="F10" s="73">
        <f>IF(C10&lt;=YEAR('I. Assumptions'!$E$32), -'VI. Debt Cvrg - Public Entity'!E10, 0)*('I. Assumptions'!$CJ$34=1)</f>
        <v>-6529793.5</v>
      </c>
      <c r="G10" s="74">
        <f t="shared" si="5"/>
        <v>0</v>
      </c>
      <c r="H10" s="72">
        <f>'Data Input'!R10</f>
        <v>0</v>
      </c>
      <c r="I10" s="74">
        <f>'Data Input'!S10</f>
        <v>0</v>
      </c>
      <c r="J10" s="72">
        <f>'Data Input'!T10</f>
        <v>0</v>
      </c>
      <c r="K10" s="73">
        <f>'Data Input'!U10</f>
        <v>0</v>
      </c>
      <c r="L10" s="73">
        <f>'Data Input'!V10</f>
        <v>0</v>
      </c>
      <c r="M10" s="74">
        <f>'Data Input'!W10</f>
        <v>0</v>
      </c>
      <c r="N10" s="74">
        <f>'Data Input'!K10</f>
        <v>13678195.670000002</v>
      </c>
      <c r="O10" s="71">
        <f t="shared" si="6"/>
        <v>13678195.670000002</v>
      </c>
      <c r="P10" s="177">
        <f t="shared" si="0"/>
        <v>2017</v>
      </c>
      <c r="Q10" s="72">
        <f>'Data Input'!X10</f>
        <v>0</v>
      </c>
      <c r="R10" s="73">
        <f>'Data Input'!Y10</f>
        <v>3370800</v>
      </c>
      <c r="S10" s="73">
        <f>IF(P10&lt;=YEAR('I. Assumptions'!$E$32), -'VI. Debt Cvrg - Public Entity'!R10, 0)*('I. Assumptions'!$CJ$35=1)</f>
        <v>-3370800</v>
      </c>
      <c r="T10" s="74">
        <f t="shared" si="7"/>
        <v>0</v>
      </c>
      <c r="U10" s="73">
        <f>'Data Input'!L10</f>
        <v>5098326.26</v>
      </c>
      <c r="V10" s="71">
        <f t="shared" si="8"/>
        <v>5098326.26</v>
      </c>
      <c r="W10" s="71">
        <f t="shared" si="3"/>
        <v>18776521.93</v>
      </c>
      <c r="X10" s="71">
        <f>'IV. CF - Public Entity'!H8</f>
        <v>25434211.122386798</v>
      </c>
      <c r="Y10" s="108">
        <f t="shared" si="9"/>
        <v>1.8594712150646397</v>
      </c>
      <c r="Z10" s="108">
        <f t="shared" si="4"/>
        <v>1.3545752092537193</v>
      </c>
      <c r="AB10" s="129"/>
      <c r="AE10" s="129"/>
      <c r="AH10" s="129"/>
    </row>
    <row r="11" spans="2:35">
      <c r="B11" s="129"/>
      <c r="C11" s="177">
        <f>'III. CF - Concessionaire'!B13</f>
        <v>2018</v>
      </c>
      <c r="D11" s="72">
        <f>'Data Input'!O11</f>
        <v>0</v>
      </c>
      <c r="E11" s="73">
        <f>'Data Input'!P11</f>
        <v>6529793.5</v>
      </c>
      <c r="F11" s="73">
        <f>IF(C11&lt;=YEAR('I. Assumptions'!$E$32), -'VI. Debt Cvrg - Public Entity'!E11, 0)*('I. Assumptions'!$CJ$34=1)</f>
        <v>-6529793.5</v>
      </c>
      <c r="G11" s="74">
        <f t="shared" si="5"/>
        <v>0</v>
      </c>
      <c r="H11" s="72">
        <f>'Data Input'!R11</f>
        <v>0</v>
      </c>
      <c r="I11" s="74">
        <f>'Data Input'!S11</f>
        <v>0</v>
      </c>
      <c r="J11" s="72">
        <f>'Data Input'!T11</f>
        <v>0</v>
      </c>
      <c r="K11" s="73">
        <f>'Data Input'!U11</f>
        <v>0</v>
      </c>
      <c r="L11" s="73">
        <f>'Data Input'!V11</f>
        <v>0</v>
      </c>
      <c r="M11" s="74">
        <f>'Data Input'!W11</f>
        <v>0</v>
      </c>
      <c r="N11" s="74">
        <f>'Data Input'!K11</f>
        <v>13793934.220000001</v>
      </c>
      <c r="O11" s="71">
        <f t="shared" si="6"/>
        <v>13793934.220000001</v>
      </c>
      <c r="P11" s="177">
        <f t="shared" si="0"/>
        <v>2018</v>
      </c>
      <c r="Q11" s="72">
        <f>'Data Input'!X11</f>
        <v>0</v>
      </c>
      <c r="R11" s="73">
        <f>'Data Input'!Y11</f>
        <v>3370800</v>
      </c>
      <c r="S11" s="73">
        <f>IF(P11&lt;=YEAR('I. Assumptions'!$E$32), -'VI. Debt Cvrg - Public Entity'!R11, 0)*('I. Assumptions'!$CJ$35=1)</f>
        <v>-3370800</v>
      </c>
      <c r="T11" s="74">
        <f>SUM(Q11:S11)</f>
        <v>0</v>
      </c>
      <c r="U11" s="73">
        <f>'Data Input'!L11</f>
        <v>5098326.26</v>
      </c>
      <c r="V11" s="71">
        <f t="shared" si="8"/>
        <v>5098326.26</v>
      </c>
      <c r="W11" s="71">
        <f t="shared" si="3"/>
        <v>18892260.48</v>
      </c>
      <c r="X11" s="71">
        <f>'IV. CF - Public Entity'!H9</f>
        <v>26929336.100268148</v>
      </c>
      <c r="Y11" s="108">
        <f t="shared" si="9"/>
        <v>1.9522592808383095</v>
      </c>
      <c r="Z11" s="108">
        <f t="shared" si="4"/>
        <v>1.425416303611549</v>
      </c>
      <c r="AB11" s="129"/>
      <c r="AE11" s="129"/>
      <c r="AH11" s="129"/>
    </row>
    <row r="12" spans="2:35">
      <c r="B12" s="129"/>
      <c r="C12" s="177">
        <f>'III. CF - Concessionaire'!B14</f>
        <v>2019</v>
      </c>
      <c r="D12" s="72">
        <f>'Data Input'!O12</f>
        <v>0</v>
      </c>
      <c r="E12" s="73">
        <f>'Data Input'!P12</f>
        <v>6529793.5</v>
      </c>
      <c r="F12" s="73">
        <f>IF(C12&lt;=YEAR('I. Assumptions'!$E$32), -'VI. Debt Cvrg - Public Entity'!E12, 0)*('I. Assumptions'!$CJ$34=1)</f>
        <v>-6529793.5</v>
      </c>
      <c r="G12" s="74">
        <f t="shared" si="5"/>
        <v>0</v>
      </c>
      <c r="H12" s="72">
        <f>'Data Input'!R12</f>
        <v>0</v>
      </c>
      <c r="I12" s="74">
        <f>'Data Input'!S12</f>
        <v>0</v>
      </c>
      <c r="J12" s="72">
        <f>'Data Input'!T12</f>
        <v>0</v>
      </c>
      <c r="K12" s="73">
        <f>'Data Input'!U12</f>
        <v>0</v>
      </c>
      <c r="L12" s="73">
        <f>'Data Input'!V12</f>
        <v>0</v>
      </c>
      <c r="M12" s="74">
        <f>'Data Input'!W12</f>
        <v>0</v>
      </c>
      <c r="N12" s="74">
        <f>'Data Input'!K12</f>
        <v>14393059.210000001</v>
      </c>
      <c r="O12" s="71">
        <f t="shared" si="6"/>
        <v>14393059.210000001</v>
      </c>
      <c r="P12" s="177">
        <f t="shared" si="0"/>
        <v>2019</v>
      </c>
      <c r="Q12" s="72">
        <f>'Data Input'!X12</f>
        <v>0</v>
      </c>
      <c r="R12" s="73">
        <f>'Data Input'!Y12</f>
        <v>3370800</v>
      </c>
      <c r="S12" s="73">
        <f>IF(P12&lt;=YEAR('I. Assumptions'!$E$32), -'VI. Debt Cvrg - Public Entity'!R12, 0)*('I. Assumptions'!$CJ$35=1)</f>
        <v>-3370800</v>
      </c>
      <c r="T12" s="74">
        <f t="shared" ref="T12:T48" si="10">SUM(Q12:S12)</f>
        <v>0</v>
      </c>
      <c r="U12" s="73">
        <f>'Data Input'!L12</f>
        <v>5098326.26</v>
      </c>
      <c r="V12" s="71">
        <f t="shared" si="8"/>
        <v>5098326.26</v>
      </c>
      <c r="W12" s="71">
        <f t="shared" si="3"/>
        <v>19491385.469999999</v>
      </c>
      <c r="X12" s="71">
        <f>'IV. CF - Public Entity'!H10</f>
        <v>41519734.441406235</v>
      </c>
      <c r="Y12" s="108">
        <f t="shared" si="9"/>
        <v>2.884705317724197</v>
      </c>
      <c r="Z12" s="108">
        <f t="shared" si="4"/>
        <v>2.1301581924646138</v>
      </c>
      <c r="AB12" s="129"/>
      <c r="AE12" s="129"/>
      <c r="AH12" s="129"/>
    </row>
    <row r="13" spans="2:35">
      <c r="B13" s="129"/>
      <c r="C13" s="177">
        <f>'III. CF - Concessionaire'!B15</f>
        <v>2020</v>
      </c>
      <c r="D13" s="72">
        <f>'Data Input'!O13</f>
        <v>0</v>
      </c>
      <c r="E13" s="73">
        <f>'Data Input'!P13</f>
        <v>6529793.5</v>
      </c>
      <c r="F13" s="73">
        <f>IF(C13&lt;=YEAR('I. Assumptions'!$E$32), -'VI. Debt Cvrg - Public Entity'!E13, 0)*('I. Assumptions'!$CJ$34=1)</f>
        <v>0</v>
      </c>
      <c r="G13" s="74">
        <f>SUM(D13:F13)</f>
        <v>6529793.5</v>
      </c>
      <c r="H13" s="72">
        <f>'Data Input'!R13</f>
        <v>4230540.8</v>
      </c>
      <c r="I13" s="74">
        <f>'Data Input'!S13</f>
        <v>5360000</v>
      </c>
      <c r="J13" s="72">
        <f>'Data Input'!T13</f>
        <v>0</v>
      </c>
      <c r="K13" s="73">
        <f>'Data Input'!U13</f>
        <v>0</v>
      </c>
      <c r="L13" s="73">
        <f>'Data Input'!V13</f>
        <v>0</v>
      </c>
      <c r="M13" s="74">
        <f>'Data Input'!W13</f>
        <v>0</v>
      </c>
      <c r="N13" s="74">
        <f>'Data Input'!K13</f>
        <v>14888560.279999999</v>
      </c>
      <c r="O13" s="71">
        <f t="shared" si="6"/>
        <v>26778353.780000001</v>
      </c>
      <c r="P13" s="177">
        <f t="shared" si="0"/>
        <v>2020</v>
      </c>
      <c r="Q13" s="72">
        <f>'Data Input'!X13</f>
        <v>0</v>
      </c>
      <c r="R13" s="73">
        <f>'Data Input'!Y13</f>
        <v>3370800</v>
      </c>
      <c r="S13" s="73">
        <f>IF(P13&lt;=YEAR('I. Assumptions'!$E$32), -'VI. Debt Cvrg - Public Entity'!R13, 0)*('I. Assumptions'!$CJ$35=1)</f>
        <v>0</v>
      </c>
      <c r="T13" s="74">
        <f t="shared" si="10"/>
        <v>3370800</v>
      </c>
      <c r="U13" s="73">
        <f>'Data Input'!L13</f>
        <v>5100457.5</v>
      </c>
      <c r="V13" s="71">
        <f t="shared" si="8"/>
        <v>8471257.5</v>
      </c>
      <c r="W13" s="71">
        <f t="shared" si="3"/>
        <v>35249611.280000001</v>
      </c>
      <c r="X13" s="71">
        <f>'IV. CF - Public Entity'!H11</f>
        <v>43197593.971268892</v>
      </c>
      <c r="Y13" s="108">
        <f t="shared" si="9"/>
        <v>1.6131534569362498</v>
      </c>
      <c r="Z13" s="108">
        <f t="shared" si="4"/>
        <v>1.2254771727306517</v>
      </c>
      <c r="AB13" s="129"/>
      <c r="AE13" s="129"/>
      <c r="AH13" s="129"/>
    </row>
    <row r="14" spans="2:35">
      <c r="B14" s="129"/>
      <c r="C14" s="177">
        <f>'III. CF - Concessionaire'!B16</f>
        <v>2021</v>
      </c>
      <c r="D14" s="72">
        <f>'Data Input'!O14</f>
        <v>0</v>
      </c>
      <c r="E14" s="73">
        <f>'Data Input'!P14</f>
        <v>6529793.5</v>
      </c>
      <c r="F14" s="73">
        <f>IF(C14&lt;=YEAR('I. Assumptions'!$E$32), -'VI. Debt Cvrg - Public Entity'!E14, 0)*('I. Assumptions'!$CJ$34=1)</f>
        <v>0</v>
      </c>
      <c r="G14" s="74">
        <f t="shared" ref="G14:G48" si="11">SUM(D14:F14)</f>
        <v>6529793.5</v>
      </c>
      <c r="H14" s="72">
        <f>'Data Input'!R14</f>
        <v>3959110.4</v>
      </c>
      <c r="I14" s="74">
        <f>'Data Input'!S14</f>
        <v>5360000</v>
      </c>
      <c r="J14" s="72">
        <f>'Data Input'!T14</f>
        <v>0</v>
      </c>
      <c r="K14" s="73">
        <f>'Data Input'!U14</f>
        <v>0</v>
      </c>
      <c r="L14" s="73">
        <f>'Data Input'!V14</f>
        <v>0</v>
      </c>
      <c r="M14" s="74">
        <f>'Data Input'!W14</f>
        <v>0</v>
      </c>
      <c r="N14" s="74">
        <f>'Data Input'!K14</f>
        <v>10344414.91</v>
      </c>
      <c r="O14" s="71">
        <f t="shared" si="6"/>
        <v>22234208.41</v>
      </c>
      <c r="P14" s="177">
        <f t="shared" si="0"/>
        <v>2021</v>
      </c>
      <c r="Q14" s="72">
        <f>'Data Input'!X14</f>
        <v>0</v>
      </c>
      <c r="R14" s="73">
        <f>'Data Input'!Y14</f>
        <v>3370800</v>
      </c>
      <c r="S14" s="73">
        <f>IF(P14&lt;=YEAR('I. Assumptions'!$E$32), -'VI. Debt Cvrg - Public Entity'!R14, 0)*('I. Assumptions'!$CJ$35=1)</f>
        <v>0</v>
      </c>
      <c r="T14" s="74">
        <f t="shared" si="10"/>
        <v>3370800</v>
      </c>
      <c r="U14" s="73">
        <f>'Data Input'!L14</f>
        <v>5098482.51</v>
      </c>
      <c r="V14" s="71">
        <f t="shared" si="8"/>
        <v>8469282.5099999998</v>
      </c>
      <c r="W14" s="71">
        <f t="shared" si="3"/>
        <v>30703490.920000002</v>
      </c>
      <c r="X14" s="71">
        <f>'IV. CF - Public Entity'!H12</f>
        <v>44940954.759633839</v>
      </c>
      <c r="Y14" s="108">
        <f t="shared" si="9"/>
        <v>2.0212527440113996</v>
      </c>
      <c r="Z14" s="108">
        <f t="shared" si="4"/>
        <v>1.4637083085024598</v>
      </c>
      <c r="AB14" s="129"/>
      <c r="AE14" s="129"/>
      <c r="AH14" s="129"/>
    </row>
    <row r="15" spans="2:35">
      <c r="B15" s="129"/>
      <c r="C15" s="177">
        <f>'III. CF - Concessionaire'!B17</f>
        <v>2022</v>
      </c>
      <c r="D15" s="72">
        <f>'Data Input'!O15</f>
        <v>0</v>
      </c>
      <c r="E15" s="73">
        <f>'Data Input'!P15</f>
        <v>6529793.5</v>
      </c>
      <c r="F15" s="73">
        <f>IF(C15&lt;=YEAR('I. Assumptions'!$E$32), -'VI. Debt Cvrg - Public Entity'!E15, 0)*('I. Assumptions'!$CJ$34=1)</f>
        <v>0</v>
      </c>
      <c r="G15" s="74">
        <f t="shared" si="11"/>
        <v>6529793.5</v>
      </c>
      <c r="H15" s="72">
        <f>'Data Input'!R15</f>
        <v>3699954.4</v>
      </c>
      <c r="I15" s="74">
        <f>'Data Input'!S15</f>
        <v>5360000</v>
      </c>
      <c r="J15" s="72">
        <f>'Data Input'!T15</f>
        <v>0</v>
      </c>
      <c r="K15" s="73">
        <f>'Data Input'!U15</f>
        <v>0</v>
      </c>
      <c r="L15" s="73">
        <f>'Data Input'!V15</f>
        <v>0</v>
      </c>
      <c r="M15" s="74">
        <f>'Data Input'!W15</f>
        <v>0</v>
      </c>
      <c r="N15" s="74">
        <f>'Data Input'!K15</f>
        <v>10344771.84</v>
      </c>
      <c r="O15" s="71">
        <f t="shared" si="6"/>
        <v>22234565.34</v>
      </c>
      <c r="P15" s="177">
        <f t="shared" si="0"/>
        <v>2022</v>
      </c>
      <c r="Q15" s="72">
        <f>'Data Input'!X15</f>
        <v>0</v>
      </c>
      <c r="R15" s="73">
        <f>'Data Input'!Y15</f>
        <v>3370800</v>
      </c>
      <c r="S15" s="73">
        <f>IF(P15&lt;=YEAR('I. Assumptions'!$E$32), -'VI. Debt Cvrg - Public Entity'!R15, 0)*('I. Assumptions'!$CJ$35=1)</f>
        <v>0</v>
      </c>
      <c r="T15" s="74">
        <f t="shared" si="10"/>
        <v>3370800</v>
      </c>
      <c r="U15" s="73">
        <f>'Data Input'!L15</f>
        <v>5098751.25</v>
      </c>
      <c r="V15" s="71">
        <f t="shared" si="8"/>
        <v>8469551.25</v>
      </c>
      <c r="W15" s="71">
        <f t="shared" si="3"/>
        <v>30704116.59</v>
      </c>
      <c r="X15" s="71">
        <f>'IV. CF - Public Entity'!H13</f>
        <v>46785522.840936556</v>
      </c>
      <c r="Y15" s="108">
        <f t="shared" si="9"/>
        <v>2.104179781593003</v>
      </c>
      <c r="Z15" s="108">
        <f t="shared" si="4"/>
        <v>1.5237540772032534</v>
      </c>
      <c r="AB15" s="129"/>
      <c r="AE15" s="129"/>
      <c r="AH15" s="129"/>
    </row>
    <row r="16" spans="2:35">
      <c r="B16" s="129"/>
      <c r="C16" s="177">
        <f>'III. CF - Concessionaire'!B18</f>
        <v>2023</v>
      </c>
      <c r="D16" s="72">
        <f>'Data Input'!O16</f>
        <v>475000</v>
      </c>
      <c r="E16" s="73">
        <f>'Data Input'!P16</f>
        <v>6519628.5</v>
      </c>
      <c r="F16" s="73">
        <f>IF(C16&lt;=YEAR('I. Assumptions'!$E$32), -'VI. Debt Cvrg - Public Entity'!E16, 0)*('I. Assumptions'!$CJ$34=1)</f>
        <v>0</v>
      </c>
      <c r="G16" s="74">
        <f t="shared" si="11"/>
        <v>6994628.5</v>
      </c>
      <c r="H16" s="72">
        <f>'Data Input'!R16</f>
        <v>3466580.0000000005</v>
      </c>
      <c r="I16" s="74">
        <f>'Data Input'!S16</f>
        <v>5360000</v>
      </c>
      <c r="J16" s="72">
        <f>'Data Input'!T16</f>
        <v>0</v>
      </c>
      <c r="K16" s="73">
        <f>'Data Input'!U16</f>
        <v>0</v>
      </c>
      <c r="L16" s="73">
        <f>'Data Input'!V16</f>
        <v>0</v>
      </c>
      <c r="M16" s="74">
        <f>'Data Input'!W16</f>
        <v>0</v>
      </c>
      <c r="N16" s="74">
        <f>'Data Input'!K16</f>
        <v>10343041.279999999</v>
      </c>
      <c r="O16" s="71">
        <f t="shared" si="6"/>
        <v>22697669.780000001</v>
      </c>
      <c r="P16" s="177">
        <f t="shared" si="0"/>
        <v>2023</v>
      </c>
      <c r="Q16" s="72">
        <f>'Data Input'!X16</f>
        <v>540000</v>
      </c>
      <c r="R16" s="73">
        <f>'Data Input'!Y16</f>
        <v>3354600</v>
      </c>
      <c r="S16" s="73">
        <f>IF(P16&lt;=YEAR('I. Assumptions'!$E$32), -'VI. Debt Cvrg - Public Entity'!R16, 0)*('I. Assumptions'!$CJ$35=1)</f>
        <v>0</v>
      </c>
      <c r="T16" s="74">
        <f t="shared" si="10"/>
        <v>3894600</v>
      </c>
      <c r="U16" s="73">
        <f>'Data Input'!L16</f>
        <v>5101001.25</v>
      </c>
      <c r="V16" s="71">
        <f t="shared" si="8"/>
        <v>8995601.25</v>
      </c>
      <c r="W16" s="71">
        <f t="shared" si="3"/>
        <v>31693271.030000001</v>
      </c>
      <c r="X16" s="71">
        <f>'IV. CF - Public Entity'!H14</f>
        <v>48497023.959425732</v>
      </c>
      <c r="Y16" s="108">
        <f t="shared" si="9"/>
        <v>2.136652106999934</v>
      </c>
      <c r="Z16" s="108">
        <f t="shared" si="4"/>
        <v>1.5301993888077929</v>
      </c>
      <c r="AB16" s="129"/>
      <c r="AE16" s="129"/>
      <c r="AH16" s="129"/>
    </row>
    <row r="17" spans="2:34">
      <c r="B17" s="129"/>
      <c r="C17" s="177">
        <f>'III. CF - Concessionaire'!B19</f>
        <v>2024</v>
      </c>
      <c r="D17" s="72">
        <f>'Data Input'!O17</f>
        <v>495000</v>
      </c>
      <c r="E17" s="73">
        <f>'Data Input'!P17</f>
        <v>6498202.25</v>
      </c>
      <c r="F17" s="73">
        <f>IF(C17&lt;=YEAR('I. Assumptions'!$E$32), -'VI. Debt Cvrg - Public Entity'!E17, 0)*('I. Assumptions'!$CJ$34=1)</f>
        <v>0</v>
      </c>
      <c r="G17" s="74">
        <f t="shared" si="11"/>
        <v>6993202.25</v>
      </c>
      <c r="H17" s="72">
        <f>'Data Input'!R17</f>
        <v>4627023</v>
      </c>
      <c r="I17" s="74">
        <f>'Data Input'!S17</f>
        <v>7660000</v>
      </c>
      <c r="J17" s="72">
        <f>'Data Input'!T17</f>
        <v>0</v>
      </c>
      <c r="K17" s="73">
        <f>'Data Input'!U17</f>
        <v>0</v>
      </c>
      <c r="L17" s="73">
        <f>'Data Input'!V17</f>
        <v>0</v>
      </c>
      <c r="M17" s="74">
        <f>'Data Input'!W17</f>
        <v>0</v>
      </c>
      <c r="N17" s="74">
        <f>'Data Input'!K17</f>
        <v>10344353.51</v>
      </c>
      <c r="O17" s="71">
        <f t="shared" si="6"/>
        <v>24997555.759999998</v>
      </c>
      <c r="P17" s="177">
        <f t="shared" si="0"/>
        <v>2024</v>
      </c>
      <c r="Q17" s="72">
        <f>'Data Input'!X17</f>
        <v>575000</v>
      </c>
      <c r="R17" s="73">
        <f>'Data Input'!Y17</f>
        <v>3321150</v>
      </c>
      <c r="S17" s="73">
        <f>IF(P17&lt;=YEAR('I. Assumptions'!$E$32), -'VI. Debt Cvrg - Public Entity'!R17, 0)*('I. Assumptions'!$CJ$35=1)</f>
        <v>0</v>
      </c>
      <c r="T17" s="74">
        <f t="shared" si="10"/>
        <v>3896150</v>
      </c>
      <c r="U17" s="73">
        <f>'Data Input'!L17</f>
        <v>5100101.25</v>
      </c>
      <c r="V17" s="71">
        <f t="shared" si="8"/>
        <v>8996251.25</v>
      </c>
      <c r="W17" s="71">
        <f t="shared" si="3"/>
        <v>33993807.009999998</v>
      </c>
      <c r="X17" s="71">
        <f>'IV. CF - Public Entity'!H15</f>
        <v>50202400.293502465</v>
      </c>
      <c r="Y17" s="108">
        <f t="shared" si="9"/>
        <v>2.0082923616809834</v>
      </c>
      <c r="Z17" s="108">
        <f t="shared" si="4"/>
        <v>1.4768101812996222</v>
      </c>
      <c r="AB17" s="129"/>
      <c r="AE17" s="129"/>
      <c r="AH17" s="129"/>
    </row>
    <row r="18" spans="2:34">
      <c r="B18" s="129"/>
      <c r="C18" s="177">
        <f>'III. CF - Concessionaire'!B20</f>
        <v>2025</v>
      </c>
      <c r="D18" s="72">
        <f>'Data Input'!O18</f>
        <v>520000</v>
      </c>
      <c r="E18" s="73">
        <f>'Data Input'!P18</f>
        <v>6474565</v>
      </c>
      <c r="F18" s="73">
        <f>IF(C18&lt;=YEAR('I. Assumptions'!$E$32), -'VI. Debt Cvrg - Public Entity'!E18, 0)*('I. Assumptions'!$CJ$34=1)</f>
        <v>0</v>
      </c>
      <c r="G18" s="74">
        <f t="shared" si="11"/>
        <v>6994565</v>
      </c>
      <c r="H18" s="72">
        <f>'Data Input'!R18</f>
        <v>4322691.2</v>
      </c>
      <c r="I18" s="74">
        <f>'Data Input'!S18</f>
        <v>7660000</v>
      </c>
      <c r="J18" s="72">
        <f>'Data Input'!T18</f>
        <v>0</v>
      </c>
      <c r="K18" s="73">
        <f>'Data Input'!U18</f>
        <v>0</v>
      </c>
      <c r="L18" s="73">
        <f>'Data Input'!V18</f>
        <v>0</v>
      </c>
      <c r="M18" s="74">
        <f>'Data Input'!W18</f>
        <v>0</v>
      </c>
      <c r="N18" s="74">
        <f>'Data Input'!K18</f>
        <v>10341423.33</v>
      </c>
      <c r="O18" s="71">
        <f t="shared" si="6"/>
        <v>24995988.329999998</v>
      </c>
      <c r="P18" s="177">
        <f t="shared" si="0"/>
        <v>2025</v>
      </c>
      <c r="Q18" s="72">
        <f>'Data Input'!X18</f>
        <v>610000</v>
      </c>
      <c r="R18" s="73">
        <f>'Data Input'!Y18</f>
        <v>3285600</v>
      </c>
      <c r="S18" s="73">
        <f>IF(P18&lt;=YEAR('I. Assumptions'!$E$32), -'VI. Debt Cvrg - Public Entity'!R18, 0)*('I. Assumptions'!$CJ$35=1)</f>
        <v>0</v>
      </c>
      <c r="T18" s="74">
        <f t="shared" si="10"/>
        <v>3895600</v>
      </c>
      <c r="U18" s="73">
        <f>'Data Input'!L18</f>
        <v>5100920.01</v>
      </c>
      <c r="V18" s="71">
        <f t="shared" si="8"/>
        <v>8996520.0099999998</v>
      </c>
      <c r="W18" s="71">
        <f t="shared" si="3"/>
        <v>33992508.339999996</v>
      </c>
      <c r="X18" s="71">
        <f>'IV. CF - Public Entity'!H16</f>
        <v>52355002.727874756</v>
      </c>
      <c r="Y18" s="108">
        <f t="shared" si="9"/>
        <v>2.0945362126385167</v>
      </c>
      <c r="Z18" s="108">
        <f t="shared" si="4"/>
        <v>1.5401923919296967</v>
      </c>
      <c r="AB18" s="129"/>
      <c r="AE18" s="129"/>
      <c r="AH18" s="129"/>
    </row>
    <row r="19" spans="2:34">
      <c r="B19" s="129"/>
      <c r="C19" s="177">
        <f>'III. CF - Concessionaire'!B21</f>
        <v>2026</v>
      </c>
      <c r="D19" s="72">
        <f>'Data Input'!O19</f>
        <v>545000</v>
      </c>
      <c r="E19" s="73">
        <f>'Data Input'!P19</f>
        <v>6448891</v>
      </c>
      <c r="F19" s="73">
        <f>IF(C19&lt;=YEAR('I. Assumptions'!$E$32), -'VI. Debt Cvrg - Public Entity'!E19, 0)*('I. Assumptions'!$CJ$34=1)</f>
        <v>0</v>
      </c>
      <c r="G19" s="74">
        <f t="shared" si="11"/>
        <v>6993891</v>
      </c>
      <c r="H19" s="72">
        <f>'Data Input'!R19</f>
        <v>2415166.1999999997</v>
      </c>
      <c r="I19" s="74">
        <f>'Data Input'!S19</f>
        <v>4590000</v>
      </c>
      <c r="J19" s="72">
        <f>'Data Input'!T19</f>
        <v>0</v>
      </c>
      <c r="K19" s="73">
        <f>'Data Input'!U19</f>
        <v>0</v>
      </c>
      <c r="L19" s="73">
        <f>'Data Input'!V19</f>
        <v>3065703.5</v>
      </c>
      <c r="M19" s="74">
        <f>'Data Input'!W19</f>
        <v>3065703.5</v>
      </c>
      <c r="N19" s="74">
        <f>'Data Input'!K19</f>
        <v>10345949.65</v>
      </c>
      <c r="O19" s="71">
        <f t="shared" si="6"/>
        <v>24995544.149999999</v>
      </c>
      <c r="P19" s="177">
        <f t="shared" si="0"/>
        <v>2026</v>
      </c>
      <c r="Q19" s="72">
        <f>'Data Input'!X19</f>
        <v>650000</v>
      </c>
      <c r="R19" s="73">
        <f>'Data Input'!Y19</f>
        <v>3247800</v>
      </c>
      <c r="S19" s="73">
        <f>IF(P19&lt;=YEAR('I. Assumptions'!$E$32), -'VI. Debt Cvrg - Public Entity'!R19, 0)*('I. Assumptions'!$CJ$35=1)</f>
        <v>0</v>
      </c>
      <c r="T19" s="74">
        <f t="shared" si="10"/>
        <v>3897800</v>
      </c>
      <c r="U19" s="73">
        <f>'Data Input'!L19</f>
        <v>5098326.26</v>
      </c>
      <c r="V19" s="71">
        <f t="shared" si="8"/>
        <v>8996126.2599999998</v>
      </c>
      <c r="W19" s="71">
        <f t="shared" si="3"/>
        <v>33991670.409999996</v>
      </c>
      <c r="X19" s="71">
        <f>'IV. CF - Public Entity'!H17</f>
        <v>54574150.393936761</v>
      </c>
      <c r="Y19" s="108">
        <f t="shared" si="9"/>
        <v>2.1833551638817497</v>
      </c>
      <c r="Z19" s="108">
        <f t="shared" si="4"/>
        <v>1.6055154023228471</v>
      </c>
      <c r="AB19" s="129"/>
      <c r="AE19" s="129"/>
      <c r="AH19" s="129"/>
    </row>
    <row r="20" spans="2:34">
      <c r="B20" s="129"/>
      <c r="C20" s="177">
        <f>'III. CF - Concessionaire'!B22</f>
        <v>2027</v>
      </c>
      <c r="D20" s="72">
        <f>'Data Input'!O20</f>
        <v>570000</v>
      </c>
      <c r="E20" s="73">
        <f>'Data Input'!P20</f>
        <v>6421314.5</v>
      </c>
      <c r="F20" s="73">
        <f>IF(C20&lt;=YEAR('I. Assumptions'!$E$32), -'VI. Debt Cvrg - Public Entity'!E20, 0)*('I. Assumptions'!$CJ$34=1)</f>
        <v>0</v>
      </c>
      <c r="G20" s="74">
        <f t="shared" si="11"/>
        <v>6991314.5</v>
      </c>
      <c r="H20" s="72">
        <f>'Data Input'!R20</f>
        <v>2247631.2000000002</v>
      </c>
      <c r="I20" s="74">
        <f>'Data Input'!S20</f>
        <v>4590000</v>
      </c>
      <c r="J20" s="72">
        <f>'Data Input'!T20</f>
        <v>0</v>
      </c>
      <c r="K20" s="73">
        <f>'Data Input'!U20</f>
        <v>0</v>
      </c>
      <c r="L20" s="73">
        <f>'Data Input'!V20</f>
        <v>3065703.5</v>
      </c>
      <c r="M20" s="74">
        <f>'Data Input'!W20</f>
        <v>3065703.5</v>
      </c>
      <c r="N20" s="74">
        <f>'Data Input'!K20</f>
        <v>10344410.800000001</v>
      </c>
      <c r="O20" s="71">
        <f t="shared" si="6"/>
        <v>24991428.800000001</v>
      </c>
      <c r="P20" s="177">
        <f t="shared" si="0"/>
        <v>2027</v>
      </c>
      <c r="Q20" s="72">
        <f>'Data Input'!X20</f>
        <v>695000</v>
      </c>
      <c r="R20" s="73">
        <f>'Data Input'!Y20</f>
        <v>3207450</v>
      </c>
      <c r="S20" s="73">
        <f>IF(P20&lt;=YEAR('I. Assumptions'!$E$32), -'VI. Debt Cvrg - Public Entity'!R20, 0)*('I. Assumptions'!$CJ$35=1)</f>
        <v>0</v>
      </c>
      <c r="T20" s="74">
        <f t="shared" si="10"/>
        <v>3902450</v>
      </c>
      <c r="U20" s="73">
        <f>'Data Input'!L20</f>
        <v>5097188.76</v>
      </c>
      <c r="V20" s="71">
        <f t="shared" si="8"/>
        <v>8999638.7599999998</v>
      </c>
      <c r="W20" s="71">
        <f t="shared" si="3"/>
        <v>33991067.560000002</v>
      </c>
      <c r="X20" s="71">
        <f>'IV. CF - Public Entity'!H18</f>
        <v>56917309.920294307</v>
      </c>
      <c r="Y20" s="108">
        <f t="shared" si="9"/>
        <v>2.2774732239516577</v>
      </c>
      <c r="Z20" s="108">
        <f t="shared" si="4"/>
        <v>1.6744784440743321</v>
      </c>
      <c r="AB20" s="129"/>
      <c r="AE20" s="129"/>
      <c r="AH20" s="129"/>
    </row>
    <row r="21" spans="2:34">
      <c r="B21" s="129"/>
      <c r="C21" s="177">
        <f>'III. CF - Concessionaire'!B23</f>
        <v>2028</v>
      </c>
      <c r="D21" s="72">
        <f>'Data Input'!O21</f>
        <v>605000</v>
      </c>
      <c r="E21" s="73">
        <f>'Data Input'!P21</f>
        <v>6391578.25</v>
      </c>
      <c r="F21" s="73">
        <f>IF(C21&lt;=YEAR('I. Assumptions'!$E$32), -'VI. Debt Cvrg - Public Entity'!E21, 0)*('I. Assumptions'!$CJ$34=1)</f>
        <v>0</v>
      </c>
      <c r="G21" s="74">
        <f t="shared" si="11"/>
        <v>6996578.25</v>
      </c>
      <c r="H21" s="72">
        <f>'Data Input'!R21</f>
        <v>2095289.1</v>
      </c>
      <c r="I21" s="74">
        <f>'Data Input'!S21</f>
        <v>4590000</v>
      </c>
      <c r="J21" s="72">
        <f>'Data Input'!T21</f>
        <v>0</v>
      </c>
      <c r="K21" s="73">
        <f>'Data Input'!U21</f>
        <v>0</v>
      </c>
      <c r="L21" s="73">
        <f>'Data Input'!V21</f>
        <v>3065703.5</v>
      </c>
      <c r="M21" s="74">
        <f>'Data Input'!W21</f>
        <v>3065703.5</v>
      </c>
      <c r="N21" s="74">
        <f>'Data Input'!K21</f>
        <v>10340992.960000001</v>
      </c>
      <c r="O21" s="71">
        <f t="shared" si="6"/>
        <v>24993274.710000001</v>
      </c>
      <c r="P21" s="177">
        <f t="shared" si="0"/>
        <v>2028</v>
      </c>
      <c r="Q21" s="72">
        <f>'Data Input'!X21</f>
        <v>735000</v>
      </c>
      <c r="R21" s="73">
        <f>'Data Input'!Y21</f>
        <v>3164550</v>
      </c>
      <c r="S21" s="73">
        <f>IF(P21&lt;=YEAR('I. Assumptions'!$E$32), -'VI. Debt Cvrg - Public Entity'!R21, 0)*('I. Assumptions'!$CJ$35=1)</f>
        <v>0</v>
      </c>
      <c r="T21" s="74">
        <f t="shared" si="10"/>
        <v>3899550</v>
      </c>
      <c r="U21" s="73">
        <f>'Data Input'!L21</f>
        <v>5097245.01</v>
      </c>
      <c r="V21" s="71">
        <f t="shared" si="8"/>
        <v>8996795.0099999998</v>
      </c>
      <c r="W21" s="71">
        <f t="shared" si="3"/>
        <v>33990069.719999999</v>
      </c>
      <c r="X21" s="71">
        <f>'IV. CF - Public Entity'!H19</f>
        <v>59391776.946146458</v>
      </c>
      <c r="Y21" s="108">
        <f t="shared" si="9"/>
        <v>2.3763103328906059</v>
      </c>
      <c r="Z21" s="108">
        <f t="shared" si="4"/>
        <v>1.7473273057513006</v>
      </c>
      <c r="AB21" s="129"/>
      <c r="AE21" s="129"/>
      <c r="AH21" s="129"/>
    </row>
    <row r="22" spans="2:34">
      <c r="B22" s="129"/>
      <c r="C22" s="177">
        <f>'III. CF - Concessionaire'!B24</f>
        <v>2029</v>
      </c>
      <c r="D22" s="72">
        <f>'Data Input'!O22</f>
        <v>635000</v>
      </c>
      <c r="E22" s="73">
        <f>'Data Input'!P22</f>
        <v>6359578.75</v>
      </c>
      <c r="F22" s="73">
        <f>IF(C22&lt;=YEAR('I. Assumptions'!$E$32), -'VI. Debt Cvrg - Public Entity'!E22, 0)*('I. Assumptions'!$CJ$34=1)</f>
        <v>0</v>
      </c>
      <c r="G22" s="74">
        <f t="shared" si="11"/>
        <v>6994578.75</v>
      </c>
      <c r="H22" s="72">
        <f>'Data Input'!R22</f>
        <v>0</v>
      </c>
      <c r="I22" s="74">
        <f>'Data Input'!S22</f>
        <v>0</v>
      </c>
      <c r="J22" s="72">
        <f>'Data Input'!T22</f>
        <v>2808876.5999999996</v>
      </c>
      <c r="K22" s="73">
        <f>'Data Input'!U22</f>
        <v>4740000</v>
      </c>
      <c r="L22" s="73">
        <f>'Data Input'!V22</f>
        <v>2919000.5</v>
      </c>
      <c r="M22" s="74">
        <f>'Data Input'!W22</f>
        <v>7659000.5</v>
      </c>
      <c r="N22" s="74">
        <f>'Data Input'!K22</f>
        <v>10343562.640000001</v>
      </c>
      <c r="O22" s="71">
        <f t="shared" si="6"/>
        <v>24997141.890000001</v>
      </c>
      <c r="P22" s="177">
        <f t="shared" si="0"/>
        <v>2029</v>
      </c>
      <c r="Q22" s="72">
        <f>'Data Input'!X22</f>
        <v>780000</v>
      </c>
      <c r="R22" s="73">
        <f>'Data Input'!Y22</f>
        <v>3119100</v>
      </c>
      <c r="S22" s="73">
        <f>IF(P22&lt;=YEAR('I. Assumptions'!$E$32), -'VI. Debt Cvrg - Public Entity'!R22, 0)*('I. Assumptions'!$CJ$35=1)</f>
        <v>0</v>
      </c>
      <c r="T22" s="74">
        <f t="shared" si="10"/>
        <v>3899100</v>
      </c>
      <c r="U22" s="73">
        <f>'Data Input'!L22</f>
        <v>5098232.51</v>
      </c>
      <c r="V22" s="71">
        <f t="shared" si="8"/>
        <v>8997332.5099999998</v>
      </c>
      <c r="W22" s="71">
        <f t="shared" si="3"/>
        <v>33994474.399999999</v>
      </c>
      <c r="X22" s="71">
        <f>'IV. CF - Public Entity'!H20</f>
        <v>62005293.414947428</v>
      </c>
      <c r="Y22" s="108">
        <f t="shared" si="9"/>
        <v>2.4804953177368003</v>
      </c>
      <c r="Z22" s="108">
        <f t="shared" si="4"/>
        <v>1.8239815296261039</v>
      </c>
      <c r="AB22" s="129"/>
      <c r="AE22" s="129"/>
      <c r="AH22" s="129"/>
    </row>
    <row r="23" spans="2:34">
      <c r="B23" s="129"/>
      <c r="C23" s="177">
        <f>'III. CF - Concessionaire'!B25</f>
        <v>2030</v>
      </c>
      <c r="D23" s="72">
        <f>'Data Input'!O23</f>
        <v>670000</v>
      </c>
      <c r="E23" s="73">
        <f>'Data Input'!P23</f>
        <v>6325248.5</v>
      </c>
      <c r="F23" s="73">
        <f>IF(C23&lt;=YEAR('I. Assumptions'!$E$32), -'VI. Debt Cvrg - Public Entity'!E23, 0)*('I. Assumptions'!$CJ$34=1)</f>
        <v>0</v>
      </c>
      <c r="G23" s="74">
        <f t="shared" si="11"/>
        <v>6995248.5</v>
      </c>
      <c r="H23" s="72">
        <f>'Data Input'!R23</f>
        <v>0</v>
      </c>
      <c r="I23" s="74">
        <f>'Data Input'!S23</f>
        <v>0</v>
      </c>
      <c r="J23" s="72">
        <f>'Data Input'!T23</f>
        <v>2974683.35</v>
      </c>
      <c r="K23" s="73">
        <f>'Data Input'!U23</f>
        <v>5045000</v>
      </c>
      <c r="L23" s="73">
        <f>'Data Input'!V23</f>
        <v>2614641.25</v>
      </c>
      <c r="M23" s="74">
        <f>'Data Input'!W23</f>
        <v>7659641.25</v>
      </c>
      <c r="N23" s="74">
        <f>'Data Input'!K23</f>
        <v>10342059.33</v>
      </c>
      <c r="O23" s="71">
        <f t="shared" si="6"/>
        <v>24996949.079999998</v>
      </c>
      <c r="P23" s="177">
        <f t="shared" si="0"/>
        <v>2030</v>
      </c>
      <c r="Q23" s="72">
        <f>'Data Input'!X23</f>
        <v>825000</v>
      </c>
      <c r="R23" s="73">
        <f>'Data Input'!Y23</f>
        <v>3070950</v>
      </c>
      <c r="S23" s="73">
        <f>IF(P23&lt;=YEAR('I. Assumptions'!$E$32), -'VI. Debt Cvrg - Public Entity'!R23, 0)*('I. Assumptions'!$CJ$35=1)</f>
        <v>0</v>
      </c>
      <c r="T23" s="74">
        <f t="shared" si="10"/>
        <v>3895950</v>
      </c>
      <c r="U23" s="73">
        <f>'Data Input'!L23</f>
        <v>5099888.76</v>
      </c>
      <c r="V23" s="71">
        <f t="shared" si="8"/>
        <v>8995838.7599999998</v>
      </c>
      <c r="W23" s="71">
        <f t="shared" si="3"/>
        <v>33992787.839999996</v>
      </c>
      <c r="X23" s="71">
        <f>'IV. CF - Public Entity'!H21</f>
        <v>64766075.67599041</v>
      </c>
      <c r="Y23" s="108">
        <f t="shared" si="9"/>
        <v>2.5909592194116842</v>
      </c>
      <c r="Z23" s="108">
        <f t="shared" si="4"/>
        <v>1.9052887330346842</v>
      </c>
      <c r="AB23" s="129"/>
      <c r="AE23" s="129"/>
      <c r="AH23" s="129"/>
    </row>
    <row r="24" spans="2:34">
      <c r="B24" s="129"/>
      <c r="C24" s="177">
        <f>'III. CF - Concessionaire'!B26</f>
        <v>2031</v>
      </c>
      <c r="D24" s="72">
        <f>'Data Input'!O24</f>
        <v>705000</v>
      </c>
      <c r="E24" s="73">
        <f>'Data Input'!P24</f>
        <v>6288495.5</v>
      </c>
      <c r="F24" s="73">
        <f>IF(C24&lt;=YEAR('I. Assumptions'!$E$32), -'VI. Debt Cvrg - Public Entity'!E24, 0)*('I. Assumptions'!$CJ$34=1)</f>
        <v>0</v>
      </c>
      <c r="G24" s="74">
        <f t="shared" si="11"/>
        <v>6993495.5</v>
      </c>
      <c r="H24" s="72">
        <f>'Data Input'!R24</f>
        <v>0</v>
      </c>
      <c r="I24" s="74">
        <f>'Data Input'!S24</f>
        <v>0</v>
      </c>
      <c r="J24" s="72">
        <f>'Data Input'!T24</f>
        <v>3147947.7</v>
      </c>
      <c r="K24" s="73">
        <f>'Data Input'!U24</f>
        <v>5370000</v>
      </c>
      <c r="L24" s="73">
        <f>'Data Input'!V24</f>
        <v>2287293</v>
      </c>
      <c r="M24" s="74">
        <f>'Data Input'!W24</f>
        <v>7657293</v>
      </c>
      <c r="N24" s="74">
        <f>'Data Input'!K24</f>
        <v>10343048.73</v>
      </c>
      <c r="O24" s="71">
        <f t="shared" si="6"/>
        <v>24993837.23</v>
      </c>
      <c r="P24" s="177">
        <f t="shared" si="0"/>
        <v>2031</v>
      </c>
      <c r="Q24" s="72">
        <f>'Data Input'!X24</f>
        <v>880000</v>
      </c>
      <c r="R24" s="73">
        <f>'Data Input'!Y24</f>
        <v>3019800</v>
      </c>
      <c r="S24" s="73">
        <f>IF(P24&lt;=YEAR('I. Assumptions'!$E$32), -'VI. Debt Cvrg - Public Entity'!R24, 0)*('I. Assumptions'!$CJ$35=1)</f>
        <v>0</v>
      </c>
      <c r="T24" s="74">
        <f t="shared" si="10"/>
        <v>3899800</v>
      </c>
      <c r="U24" s="73">
        <f>'Data Input'!L24</f>
        <v>5097082.5</v>
      </c>
      <c r="V24" s="71">
        <f t="shared" si="8"/>
        <v>8996882.5</v>
      </c>
      <c r="W24" s="71">
        <f t="shared" si="3"/>
        <v>33990719.730000004</v>
      </c>
      <c r="X24" s="71">
        <f>'IV. CF - Public Entity'!H22</f>
        <v>67682844.393069506</v>
      </c>
      <c r="Y24" s="108">
        <f t="shared" si="9"/>
        <v>2.7079813223649416</v>
      </c>
      <c r="Z24" s="108">
        <f t="shared" si="4"/>
        <v>1.9912153943987552</v>
      </c>
      <c r="AB24" s="129"/>
      <c r="AE24" s="129"/>
      <c r="AH24" s="129"/>
    </row>
    <row r="25" spans="2:34">
      <c r="B25" s="129"/>
      <c r="C25" s="177">
        <f>'III. CF - Concessionaire'!B27</f>
        <v>2032</v>
      </c>
      <c r="D25" s="72">
        <f>'Data Input'!O25</f>
        <v>745000</v>
      </c>
      <c r="E25" s="73">
        <f>'Data Input'!P25</f>
        <v>6249267</v>
      </c>
      <c r="F25" s="73">
        <f>IF(C25&lt;=YEAR('I. Assumptions'!$E$32), -'VI. Debt Cvrg - Public Entity'!E25, 0)*('I. Assumptions'!$CJ$34=1)</f>
        <v>0</v>
      </c>
      <c r="G25" s="74">
        <f t="shared" si="11"/>
        <v>6994267</v>
      </c>
      <c r="H25" s="72">
        <f>'Data Input'!R25</f>
        <v>0</v>
      </c>
      <c r="I25" s="74">
        <f>'Data Input'!S25</f>
        <v>0</v>
      </c>
      <c r="J25" s="72">
        <f>'Data Input'!T25</f>
        <v>3336418.8</v>
      </c>
      <c r="K25" s="73">
        <f>'Data Input'!U25</f>
        <v>5720000</v>
      </c>
      <c r="L25" s="73">
        <f>'Data Input'!V25</f>
        <v>1935133</v>
      </c>
      <c r="M25" s="74">
        <f>'Data Input'!W25</f>
        <v>7655133</v>
      </c>
      <c r="N25" s="74">
        <f>'Data Input'!K25</f>
        <v>10343700</v>
      </c>
      <c r="O25" s="71">
        <f t="shared" si="6"/>
        <v>24993100</v>
      </c>
      <c r="P25" s="177">
        <f t="shared" si="0"/>
        <v>2032</v>
      </c>
      <c r="Q25" s="72">
        <f>'Data Input'!X25</f>
        <v>930000</v>
      </c>
      <c r="R25" s="73">
        <f>'Data Input'!Y25</f>
        <v>2965500</v>
      </c>
      <c r="S25" s="73">
        <f>IF(P25&lt;=YEAR('I. Assumptions'!$E$32), -'VI. Debt Cvrg - Public Entity'!R25, 0)*('I. Assumptions'!$CJ$35=1)</f>
        <v>0</v>
      </c>
      <c r="T25" s="74">
        <f t="shared" si="10"/>
        <v>3895500</v>
      </c>
      <c r="U25" s="73">
        <f>'Data Input'!L25</f>
        <v>5099551.25</v>
      </c>
      <c r="V25" s="71">
        <f t="shared" si="8"/>
        <v>8995051.25</v>
      </c>
      <c r="W25" s="71">
        <f t="shared" si="3"/>
        <v>33988151.25</v>
      </c>
      <c r="X25" s="71">
        <f>'IV. CF - Public Entity'!H23</f>
        <v>70764856.378227115</v>
      </c>
      <c r="Y25" s="108">
        <f t="shared" si="9"/>
        <v>2.8313757148263767</v>
      </c>
      <c r="Z25" s="108">
        <f t="shared" si="4"/>
        <v>2.0820448825743978</v>
      </c>
      <c r="AB25" s="129"/>
      <c r="AE25" s="129"/>
      <c r="AH25" s="129"/>
    </row>
    <row r="26" spans="2:34">
      <c r="B26" s="129"/>
      <c r="C26" s="177">
        <f>'III. CF - Concessionaire'!B28</f>
        <v>2033</v>
      </c>
      <c r="D26" s="72">
        <f>'Data Input'!O26</f>
        <v>790000</v>
      </c>
      <c r="E26" s="73">
        <f>'Data Input'!P26</f>
        <v>6207278</v>
      </c>
      <c r="F26" s="73">
        <f>IF(C26&lt;=YEAR('I. Assumptions'!$E$32), -'VI. Debt Cvrg - Public Entity'!E26, 0)*('I. Assumptions'!$CJ$34=1)</f>
        <v>0</v>
      </c>
      <c r="G26" s="74">
        <f t="shared" si="11"/>
        <v>6997278</v>
      </c>
      <c r="H26" s="72">
        <f>'Data Input'!R26</f>
        <v>0</v>
      </c>
      <c r="I26" s="74">
        <f>'Data Input'!S26</f>
        <v>0</v>
      </c>
      <c r="J26" s="72">
        <f>'Data Input'!T26</f>
        <v>3543307</v>
      </c>
      <c r="K26" s="73">
        <f>'Data Input'!U26</f>
        <v>6100000</v>
      </c>
      <c r="L26" s="73">
        <f>'Data Input'!V26</f>
        <v>1556550</v>
      </c>
      <c r="M26" s="74">
        <f>'Data Input'!W26</f>
        <v>7656550</v>
      </c>
      <c r="N26" s="74">
        <f>'Data Input'!K26</f>
        <v>10342275</v>
      </c>
      <c r="O26" s="71">
        <f t="shared" si="6"/>
        <v>24996103</v>
      </c>
      <c r="P26" s="177">
        <f t="shared" si="0"/>
        <v>2033</v>
      </c>
      <c r="Q26" s="72">
        <f>'Data Input'!X26</f>
        <v>995000</v>
      </c>
      <c r="R26" s="73">
        <f>'Data Input'!Y26</f>
        <v>2907750</v>
      </c>
      <c r="S26" s="73">
        <f>IF(P26&lt;=YEAR('I. Assumptions'!$E$32), -'VI. Debt Cvrg - Public Entity'!R26, 0)*('I. Assumptions'!$CJ$35=1)</f>
        <v>0</v>
      </c>
      <c r="T26" s="74">
        <f t="shared" si="10"/>
        <v>3902750</v>
      </c>
      <c r="U26" s="73">
        <f>'Data Input'!L26</f>
        <v>5097032.51</v>
      </c>
      <c r="V26" s="71">
        <f t="shared" si="8"/>
        <v>8999782.5099999998</v>
      </c>
      <c r="W26" s="71">
        <f t="shared" si="3"/>
        <v>33995885.509999998</v>
      </c>
      <c r="X26" s="71">
        <f>'IV. CF - Public Entity'!H24</f>
        <v>74021938.476389557</v>
      </c>
      <c r="Y26" s="108">
        <f t="shared" si="9"/>
        <v>2.9613391526026902</v>
      </c>
      <c r="Z26" s="108">
        <f t="shared" si="4"/>
        <v>2.1773793318198984</v>
      </c>
      <c r="AB26" s="129"/>
      <c r="AE26" s="129"/>
      <c r="AH26" s="129"/>
    </row>
    <row r="27" spans="2:34">
      <c r="B27" s="129"/>
      <c r="C27" s="177">
        <f>'III. CF - Concessionaire'!B29</f>
        <v>2034</v>
      </c>
      <c r="D27" s="72">
        <f>'Data Input'!O27</f>
        <v>830000</v>
      </c>
      <c r="E27" s="73">
        <f>'Data Input'!P27</f>
        <v>6162437.5</v>
      </c>
      <c r="F27" s="73">
        <f>IF(C27&lt;=YEAR('I. Assumptions'!$E$32), -'VI. Debt Cvrg - Public Entity'!E27, 0)*('I. Assumptions'!$CJ$34=1)</f>
        <v>0</v>
      </c>
      <c r="G27" s="74">
        <f t="shared" si="11"/>
        <v>6992437.5</v>
      </c>
      <c r="H27" s="72">
        <f>'Data Input'!R27</f>
        <v>0</v>
      </c>
      <c r="I27" s="74">
        <f>'Data Input'!S27</f>
        <v>0</v>
      </c>
      <c r="J27" s="72">
        <f>'Data Input'!T27</f>
        <v>3768899.4</v>
      </c>
      <c r="K27" s="73">
        <f>'Data Input'!U27</f>
        <v>6510000</v>
      </c>
      <c r="L27" s="73">
        <f>'Data Input'!V27</f>
        <v>1149836.5</v>
      </c>
      <c r="M27" s="74">
        <f>'Data Input'!W27</f>
        <v>7659836.5</v>
      </c>
      <c r="N27" s="74">
        <f>'Data Input'!K27</f>
        <v>10345550</v>
      </c>
      <c r="O27" s="71">
        <f t="shared" si="6"/>
        <v>24997824</v>
      </c>
      <c r="P27" s="177">
        <f t="shared" si="0"/>
        <v>2034</v>
      </c>
      <c r="Q27" s="72">
        <f>'Data Input'!X27</f>
        <v>1050000</v>
      </c>
      <c r="R27" s="73">
        <f>'Data Input'!Y27</f>
        <v>2846400</v>
      </c>
      <c r="S27" s="73">
        <f>IF(P27&lt;=YEAR('I. Assumptions'!$E$32), -'VI. Debt Cvrg - Public Entity'!R27, 0)*('I. Assumptions'!$CJ$35=1)</f>
        <v>0</v>
      </c>
      <c r="T27" s="74">
        <f t="shared" si="10"/>
        <v>3896400</v>
      </c>
      <c r="U27" s="73">
        <f>'Data Input'!L27</f>
        <v>5099263.75</v>
      </c>
      <c r="V27" s="71">
        <f t="shared" si="8"/>
        <v>8995663.75</v>
      </c>
      <c r="W27" s="71">
        <f t="shared" si="3"/>
        <v>33993487.75</v>
      </c>
      <c r="X27" s="71">
        <f>'IV. CF - Public Entity'!H25</f>
        <v>77016396.096849024</v>
      </c>
      <c r="Y27" s="108">
        <f t="shared" si="9"/>
        <v>3.0809240074995738</v>
      </c>
      <c r="Z27" s="108">
        <f t="shared" si="4"/>
        <v>2.2656220704169736</v>
      </c>
      <c r="AB27" s="129"/>
      <c r="AE27" s="129"/>
      <c r="AH27" s="129"/>
    </row>
    <row r="28" spans="2:34">
      <c r="B28" s="129"/>
      <c r="C28" s="177">
        <f>'III. CF - Concessionaire'!B30</f>
        <v>2035</v>
      </c>
      <c r="D28" s="72">
        <f>'Data Input'!O28</f>
        <v>880000</v>
      </c>
      <c r="E28" s="73">
        <f>'Data Input'!P28</f>
        <v>6114550</v>
      </c>
      <c r="F28" s="73">
        <f>IF(C28&lt;=YEAR('I. Assumptions'!$E$32), -'VI. Debt Cvrg - Public Entity'!E28, 0)*('I. Assumptions'!$CJ$34=1)</f>
        <v>0</v>
      </c>
      <c r="G28" s="74">
        <f t="shared" si="11"/>
        <v>6994550</v>
      </c>
      <c r="H28" s="72">
        <f>'Data Input'!R28</f>
        <v>0</v>
      </c>
      <c r="I28" s="74">
        <f>'Data Input'!S28</f>
        <v>0</v>
      </c>
      <c r="J28" s="72">
        <f>'Data Input'!T28</f>
        <v>4004070.3000000003</v>
      </c>
      <c r="K28" s="73">
        <f>'Data Input'!U28</f>
        <v>6945000</v>
      </c>
      <c r="L28" s="73">
        <f>'Data Input'!V28</f>
        <v>712831</v>
      </c>
      <c r="M28" s="74">
        <f>'Data Input'!W28</f>
        <v>7657831</v>
      </c>
      <c r="N28" s="74">
        <f>'Data Input'!K28</f>
        <v>10341750</v>
      </c>
      <c r="O28" s="71">
        <f t="shared" si="6"/>
        <v>24994131</v>
      </c>
      <c r="P28" s="177">
        <f t="shared" si="0"/>
        <v>2035</v>
      </c>
      <c r="Q28" s="72">
        <f>'Data Input'!X28</f>
        <v>1115000</v>
      </c>
      <c r="R28" s="73">
        <f>'Data Input'!Y28</f>
        <v>2781450</v>
      </c>
      <c r="S28" s="73">
        <f>IF(P28&lt;=YEAR('I. Assumptions'!$E$32), -'VI. Debt Cvrg - Public Entity'!R28, 0)*('I. Assumptions'!$CJ$35=1)</f>
        <v>0</v>
      </c>
      <c r="T28" s="74">
        <f t="shared" si="10"/>
        <v>3896450</v>
      </c>
      <c r="U28" s="73">
        <f>'Data Input'!L28</f>
        <v>5100851.25</v>
      </c>
      <c r="V28" s="71">
        <f t="shared" si="8"/>
        <v>8997301.25</v>
      </c>
      <c r="W28" s="71">
        <f t="shared" si="3"/>
        <v>33991432.25</v>
      </c>
      <c r="X28" s="71">
        <f>'IV. CF - Public Entity'!H26</f>
        <v>80163490.589891732</v>
      </c>
      <c r="Y28" s="108">
        <f t="shared" si="9"/>
        <v>3.2072925675988389</v>
      </c>
      <c r="Z28" s="108">
        <f t="shared" si="4"/>
        <v>2.3583440085815077</v>
      </c>
      <c r="AB28" s="129"/>
      <c r="AE28" s="129"/>
      <c r="AH28" s="129"/>
    </row>
    <row r="29" spans="2:34">
      <c r="B29" s="129"/>
      <c r="C29" s="177">
        <f>'III. CF - Concessionaire'!B31</f>
        <v>2036</v>
      </c>
      <c r="D29" s="72">
        <f>'Data Input'!O29</f>
        <v>930000</v>
      </c>
      <c r="E29" s="73">
        <f>'Data Input'!P29</f>
        <v>6063366</v>
      </c>
      <c r="F29" s="73">
        <f>IF(C29&lt;=YEAR('I. Assumptions'!$E$32), -'VI. Debt Cvrg - Public Entity'!E29, 0)*('I. Assumptions'!$CJ$34=1)</f>
        <v>0</v>
      </c>
      <c r="G29" s="74">
        <f t="shared" si="11"/>
        <v>6993366</v>
      </c>
      <c r="H29" s="72">
        <f>'Data Input'!R29</f>
        <v>0</v>
      </c>
      <c r="I29" s="74">
        <f>'Data Input'!S29</f>
        <v>0</v>
      </c>
      <c r="J29" s="72">
        <f>'Data Input'!T29</f>
        <v>4260807.3</v>
      </c>
      <c r="K29" s="73">
        <f>'Data Input'!U29</f>
        <v>7415000</v>
      </c>
      <c r="L29" s="73">
        <f>'Data Input'!V29</f>
        <v>243211.99999999997</v>
      </c>
      <c r="M29" s="74">
        <f>'Data Input'!W29</f>
        <v>7658212</v>
      </c>
      <c r="N29" s="74">
        <f>'Data Input'!K29</f>
        <v>10343125</v>
      </c>
      <c r="O29" s="71">
        <f t="shared" si="6"/>
        <v>24994703</v>
      </c>
      <c r="P29" s="177">
        <f t="shared" si="0"/>
        <v>2036</v>
      </c>
      <c r="Q29" s="72">
        <f>'Data Input'!X29</f>
        <v>3030000</v>
      </c>
      <c r="R29" s="73">
        <f>'Data Input'!Y29</f>
        <v>2657100</v>
      </c>
      <c r="S29" s="73">
        <f>IF(P29&lt;=YEAR('I. Assumptions'!$E$32), -'VI. Debt Cvrg - Public Entity'!R29, 0)*('I. Assumptions'!$CJ$35=1)</f>
        <v>0</v>
      </c>
      <c r="T29" s="74">
        <f t="shared" si="10"/>
        <v>5687100</v>
      </c>
      <c r="U29" s="73">
        <f>'Data Input'!L29</f>
        <v>3311906.25</v>
      </c>
      <c r="V29" s="71">
        <f t="shared" si="8"/>
        <v>8999006.25</v>
      </c>
      <c r="W29" s="71">
        <f t="shared" si="3"/>
        <v>33993709.25</v>
      </c>
      <c r="X29" s="71">
        <f>'IV. CF - Public Entity'!H27</f>
        <v>83471596.585079893</v>
      </c>
      <c r="Y29" s="108">
        <f t="shared" si="9"/>
        <v>3.3395714518024038</v>
      </c>
      <c r="Z29" s="108">
        <f t="shared" si="4"/>
        <v>2.4555012802870251</v>
      </c>
      <c r="AB29" s="129"/>
      <c r="AE29" s="129"/>
      <c r="AH29" s="129"/>
    </row>
    <row r="30" spans="2:34">
      <c r="B30" s="129"/>
      <c r="C30" s="177">
        <f>'III. CF - Concessionaire'!B32</f>
        <v>2037</v>
      </c>
      <c r="D30" s="72">
        <f>'Data Input'!O30</f>
        <v>985000</v>
      </c>
      <c r="E30" s="73">
        <f>'Data Input'!P30</f>
        <v>6008783</v>
      </c>
      <c r="F30" s="73">
        <f>IF(C30&lt;=YEAR('I. Assumptions'!$E$32), -'VI. Debt Cvrg - Public Entity'!E30, 0)*('I. Assumptions'!$CJ$34=1)</f>
        <v>0</v>
      </c>
      <c r="G30" s="74">
        <f t="shared" si="11"/>
        <v>6993783</v>
      </c>
      <c r="H30" s="72">
        <f>'Data Input'!R30</f>
        <v>0</v>
      </c>
      <c r="I30" s="74">
        <f>'Data Input'!S30</f>
        <v>0</v>
      </c>
      <c r="J30" s="72">
        <f>'Data Input'!T30</f>
        <v>0</v>
      </c>
      <c r="K30" s="73">
        <f>'Data Input'!U30</f>
        <v>0</v>
      </c>
      <c r="L30" s="73">
        <f>'Data Input'!V30</f>
        <v>0</v>
      </c>
      <c r="M30" s="74">
        <f>'Data Input'!W30</f>
        <v>0</v>
      </c>
      <c r="N30" s="74">
        <f>'Data Input'!K30</f>
        <v>10342750</v>
      </c>
      <c r="O30" s="71">
        <f t="shared" si="6"/>
        <v>17336533</v>
      </c>
      <c r="P30" s="177">
        <f t="shared" si="0"/>
        <v>2037</v>
      </c>
      <c r="Q30" s="72">
        <f>'Data Input'!X30</f>
        <v>3215000</v>
      </c>
      <c r="R30" s="73">
        <f>'Data Input'!Y30</f>
        <v>2469750</v>
      </c>
      <c r="S30" s="73">
        <f>IF(P30&lt;=YEAR('I. Assumptions'!$E$32), -'VI. Debt Cvrg - Public Entity'!R30, 0)*('I. Assumptions'!$CJ$35=1)</f>
        <v>0</v>
      </c>
      <c r="T30" s="74">
        <f t="shared" si="10"/>
        <v>5684750</v>
      </c>
      <c r="U30" s="73">
        <f>'Data Input'!L30</f>
        <v>3311418.75</v>
      </c>
      <c r="V30" s="71">
        <f t="shared" si="8"/>
        <v>8996168.75</v>
      </c>
      <c r="W30" s="71">
        <f t="shared" si="3"/>
        <v>26332701.75</v>
      </c>
      <c r="X30" s="71">
        <f>'IV. CF - Public Entity'!H28</f>
        <v>86949575.593491703</v>
      </c>
      <c r="Y30" s="108">
        <f t="shared" si="9"/>
        <v>5.0153958460720895</v>
      </c>
      <c r="Z30" s="108">
        <f t="shared" si="4"/>
        <v>3.3019618123116325</v>
      </c>
      <c r="AB30" s="129"/>
      <c r="AE30" s="129"/>
      <c r="AH30" s="129"/>
    </row>
    <row r="31" spans="2:34">
      <c r="B31" s="129"/>
      <c r="C31" s="177">
        <f>'III. CF - Concessionaire'!B33</f>
        <v>2038</v>
      </c>
      <c r="D31" s="72">
        <f>'Data Input'!O31</f>
        <v>1045000</v>
      </c>
      <c r="E31" s="73">
        <f>'Data Input'!P31</f>
        <v>5950463.75</v>
      </c>
      <c r="F31" s="73">
        <f>IF(C31&lt;=YEAR('I. Assumptions'!$E$32), -'VI. Debt Cvrg - Public Entity'!E31, 0)*('I. Assumptions'!$CJ$34=1)</f>
        <v>0</v>
      </c>
      <c r="G31" s="74">
        <f t="shared" si="11"/>
        <v>6995463.75</v>
      </c>
      <c r="H31" s="72">
        <f>'Data Input'!R31</f>
        <v>0</v>
      </c>
      <c r="I31" s="74">
        <f>'Data Input'!S31</f>
        <v>0</v>
      </c>
      <c r="J31" s="72">
        <f>'Data Input'!T31</f>
        <v>0</v>
      </c>
      <c r="K31" s="73">
        <f>'Data Input'!U31</f>
        <v>0</v>
      </c>
      <c r="L31" s="73">
        <f>'Data Input'!V31</f>
        <v>0</v>
      </c>
      <c r="M31" s="74">
        <f>'Data Input'!W31</f>
        <v>0</v>
      </c>
      <c r="N31" s="74">
        <f>'Data Input'!K31</f>
        <v>10344500</v>
      </c>
      <c r="O31" s="71">
        <f t="shared" si="6"/>
        <v>17339963.75</v>
      </c>
      <c r="P31" s="177">
        <f t="shared" si="0"/>
        <v>2038</v>
      </c>
      <c r="Q31" s="72">
        <f>'Data Input'!X31</f>
        <v>3415000</v>
      </c>
      <c r="R31" s="73">
        <f>'Data Input'!Y31</f>
        <v>2270850</v>
      </c>
      <c r="S31" s="73">
        <f>IF(P31&lt;=YEAR('I. Assumptions'!$E$32), -'VI. Debt Cvrg - Public Entity'!R31, 0)*('I. Assumptions'!$CJ$35=1)</f>
        <v>0</v>
      </c>
      <c r="T31" s="74">
        <f t="shared" si="10"/>
        <v>5685850</v>
      </c>
      <c r="U31" s="73">
        <f>'Data Input'!L31</f>
        <v>3309500</v>
      </c>
      <c r="V31" s="71">
        <f t="shared" si="8"/>
        <v>8995350</v>
      </c>
      <c r="W31" s="71">
        <f t="shared" si="3"/>
        <v>26335313.75</v>
      </c>
      <c r="X31" s="71">
        <f>'IV. CF - Public Entity'!H29</f>
        <v>90606805.557575256</v>
      </c>
      <c r="Y31" s="108">
        <f t="shared" si="9"/>
        <v>5.2253168959234566</v>
      </c>
      <c r="Z31" s="108">
        <f t="shared" si="4"/>
        <v>3.4405060223584862</v>
      </c>
      <c r="AB31" s="129"/>
      <c r="AE31" s="129"/>
      <c r="AH31" s="129"/>
    </row>
    <row r="32" spans="2:34">
      <c r="B32" s="129"/>
      <c r="C32" s="177">
        <f>'III. CF - Concessionaire'!B34</f>
        <v>2039</v>
      </c>
      <c r="D32" s="72">
        <f>'Data Input'!O32</f>
        <v>1105000</v>
      </c>
      <c r="E32" s="73">
        <f>'Data Input'!P32</f>
        <v>5888215.25</v>
      </c>
      <c r="F32" s="73">
        <f>IF(C32&lt;=YEAR('I. Assumptions'!$E$32), -'VI. Debt Cvrg - Public Entity'!E32, 0)*('I. Assumptions'!$CJ$34=1)</f>
        <v>0</v>
      </c>
      <c r="G32" s="74">
        <f t="shared" si="11"/>
        <v>6993215.25</v>
      </c>
      <c r="H32" s="72">
        <f>'Data Input'!R32</f>
        <v>0</v>
      </c>
      <c r="I32" s="74">
        <f>'Data Input'!S32</f>
        <v>0</v>
      </c>
      <c r="J32" s="72">
        <f>'Data Input'!T32</f>
        <v>0</v>
      </c>
      <c r="K32" s="73">
        <f>'Data Input'!U32</f>
        <v>0</v>
      </c>
      <c r="L32" s="73">
        <f>'Data Input'!V32</f>
        <v>0</v>
      </c>
      <c r="M32" s="74">
        <f>'Data Input'!W32</f>
        <v>0</v>
      </c>
      <c r="N32" s="74">
        <f>'Data Input'!K32</f>
        <v>10342250</v>
      </c>
      <c r="O32" s="71">
        <f t="shared" si="6"/>
        <v>17335465.25</v>
      </c>
      <c r="P32" s="177">
        <f t="shared" si="0"/>
        <v>2039</v>
      </c>
      <c r="Q32" s="72">
        <f>'Data Input'!X32</f>
        <v>3625000</v>
      </c>
      <c r="R32" s="73">
        <f>'Data Input'!Y32</f>
        <v>2059650</v>
      </c>
      <c r="S32" s="73">
        <f>IF(P32&lt;=YEAR('I. Assumptions'!$E$32), -'VI. Debt Cvrg - Public Entity'!R32, 0)*('I. Assumptions'!$CJ$35=1)</f>
        <v>0</v>
      </c>
      <c r="T32" s="74">
        <f t="shared" si="10"/>
        <v>5684650</v>
      </c>
      <c r="U32" s="73">
        <f>'Data Input'!L32</f>
        <v>3310756.25</v>
      </c>
      <c r="V32" s="71">
        <f t="shared" si="8"/>
        <v>8995406.25</v>
      </c>
      <c r="W32" s="71">
        <f t="shared" si="3"/>
        <v>26330871.5</v>
      </c>
      <c r="X32" s="71">
        <f>'IV. CF - Public Entity'!H30</f>
        <v>94453212.250657976</v>
      </c>
      <c r="Y32" s="108">
        <f t="shared" si="9"/>
        <v>5.4485536377893276</v>
      </c>
      <c r="Z32" s="108">
        <f t="shared" si="4"/>
        <v>3.5871661995941904</v>
      </c>
      <c r="AB32" s="129"/>
      <c r="AE32" s="129"/>
      <c r="AH32" s="129"/>
    </row>
    <row r="33" spans="2:34">
      <c r="B33" s="129"/>
      <c r="C33" s="177">
        <f>'III. CF - Concessionaire'!B35</f>
        <v>2040</v>
      </c>
      <c r="D33" s="72">
        <f>'Data Input'!O33</f>
        <v>11830000</v>
      </c>
      <c r="E33" s="73">
        <f>'Data Input'!P33</f>
        <v>5510087.5</v>
      </c>
      <c r="F33" s="73">
        <f>IF(C33&lt;=YEAR('I. Assumptions'!$E$32), -'VI. Debt Cvrg - Public Entity'!E33, 0)*('I. Assumptions'!$CJ$34=1)</f>
        <v>0</v>
      </c>
      <c r="G33" s="74">
        <f t="shared" si="11"/>
        <v>17340087.5</v>
      </c>
      <c r="H33" s="72">
        <f>'Data Input'!R33</f>
        <v>0</v>
      </c>
      <c r="I33" s="74">
        <f>'Data Input'!S33</f>
        <v>0</v>
      </c>
      <c r="J33" s="72">
        <f>'Data Input'!T33</f>
        <v>0</v>
      </c>
      <c r="K33" s="73">
        <f>'Data Input'!U33</f>
        <v>0</v>
      </c>
      <c r="L33" s="73">
        <f>'Data Input'!V33</f>
        <v>0</v>
      </c>
      <c r="M33" s="74">
        <f>'Data Input'!W33</f>
        <v>0</v>
      </c>
      <c r="N33" s="74">
        <f>'Data Input'!K33</f>
        <v>0</v>
      </c>
      <c r="O33" s="71">
        <f t="shared" si="6"/>
        <v>17340087.5</v>
      </c>
      <c r="P33" s="177">
        <f t="shared" si="0"/>
        <v>2040</v>
      </c>
      <c r="Q33" s="72">
        <f>'Data Input'!X33</f>
        <v>3850000</v>
      </c>
      <c r="R33" s="73">
        <f>'Data Input'!Y33</f>
        <v>1835400</v>
      </c>
      <c r="S33" s="73">
        <f>IF(P33&lt;=YEAR('I. Assumptions'!$E$32), -'VI. Debt Cvrg - Public Entity'!R33, 0)*('I. Assumptions'!$CJ$35=1)</f>
        <v>0</v>
      </c>
      <c r="T33" s="74">
        <f t="shared" si="10"/>
        <v>5685400</v>
      </c>
      <c r="U33" s="73">
        <f>'Data Input'!L33</f>
        <v>3309793.75</v>
      </c>
      <c r="V33" s="71">
        <f t="shared" si="8"/>
        <v>8995193.75</v>
      </c>
      <c r="W33" s="71">
        <f t="shared" si="3"/>
        <v>26335281.25</v>
      </c>
      <c r="X33" s="71">
        <f>'IV. CF - Public Entity'!H31</f>
        <v>98499302.644443974</v>
      </c>
      <c r="Y33" s="108">
        <f t="shared" si="9"/>
        <v>5.6804386162667271</v>
      </c>
      <c r="Z33" s="108">
        <f t="shared" si="4"/>
        <v>3.740203178746913</v>
      </c>
      <c r="AB33" s="129"/>
      <c r="AE33" s="129"/>
      <c r="AH33" s="129"/>
    </row>
    <row r="34" spans="2:34">
      <c r="B34" s="129"/>
      <c r="C34" s="177">
        <f>'III. CF - Concessionaire'!B36</f>
        <v>2041</v>
      </c>
      <c r="D34" s="72">
        <f>'Data Input'!O34</f>
        <v>12540000</v>
      </c>
      <c r="E34" s="73">
        <f>'Data Input'!P34</f>
        <v>4796638</v>
      </c>
      <c r="F34" s="73">
        <f>IF(C34&lt;=YEAR('I. Assumptions'!$E$32), -'VI. Debt Cvrg - Public Entity'!E34, 0)*('I. Assumptions'!$CJ$34=1)</f>
        <v>0</v>
      </c>
      <c r="G34" s="74">
        <f t="shared" si="11"/>
        <v>17336638</v>
      </c>
      <c r="H34" s="72">
        <f>'Data Input'!R34</f>
        <v>0</v>
      </c>
      <c r="I34" s="74">
        <f>'Data Input'!S34</f>
        <v>0</v>
      </c>
      <c r="J34" s="72">
        <f>'Data Input'!T34</f>
        <v>0</v>
      </c>
      <c r="K34" s="73">
        <f>'Data Input'!U34</f>
        <v>0</v>
      </c>
      <c r="L34" s="73">
        <f>'Data Input'!V34</f>
        <v>0</v>
      </c>
      <c r="M34" s="74">
        <f>'Data Input'!W34</f>
        <v>0</v>
      </c>
      <c r="N34" s="74">
        <f>'Data Input'!K34</f>
        <v>0</v>
      </c>
      <c r="O34" s="71">
        <f t="shared" si="6"/>
        <v>17336638</v>
      </c>
      <c r="P34" s="177">
        <f t="shared" si="0"/>
        <v>2041</v>
      </c>
      <c r="Q34" s="72">
        <f>'Data Input'!X34</f>
        <v>4090000</v>
      </c>
      <c r="R34" s="73">
        <f>'Data Input'!Y34</f>
        <v>1597200</v>
      </c>
      <c r="S34" s="73">
        <f>IF(P34&lt;=YEAR('I. Assumptions'!$E$32), -'VI. Debt Cvrg - Public Entity'!R34, 0)*('I. Assumptions'!$CJ$35=1)</f>
        <v>0</v>
      </c>
      <c r="T34" s="74">
        <f t="shared" si="10"/>
        <v>5687200</v>
      </c>
      <c r="U34" s="73">
        <f>'Data Input'!L34</f>
        <v>3311218.75</v>
      </c>
      <c r="V34" s="71">
        <f t="shared" si="8"/>
        <v>8998418.75</v>
      </c>
      <c r="W34" s="71">
        <f t="shared" si="3"/>
        <v>26335056.75</v>
      </c>
      <c r="X34" s="71">
        <f>'IV. CF - Public Entity'!H32</f>
        <v>102003390.6895352</v>
      </c>
      <c r="Y34" s="108">
        <f t="shared" si="9"/>
        <v>5.8836892533336167</v>
      </c>
      <c r="Z34" s="108">
        <f t="shared" si="4"/>
        <v>3.8732929895636241</v>
      </c>
      <c r="AB34" s="129"/>
      <c r="AE34" s="129"/>
      <c r="AH34" s="129"/>
    </row>
    <row r="35" spans="2:34">
      <c r="B35" s="129"/>
      <c r="C35" s="177">
        <f>'III. CF - Concessionaire'!B37</f>
        <v>2042</v>
      </c>
      <c r="D35" s="72">
        <f>'Data Input'!O35</f>
        <v>13300000</v>
      </c>
      <c r="E35" s="73">
        <f>'Data Input'!P35</f>
        <v>4038196</v>
      </c>
      <c r="F35" s="73">
        <f>IF(C35&lt;=YEAR('I. Assumptions'!$E$32), -'VI. Debt Cvrg - Public Entity'!E35, 0)</f>
        <v>0</v>
      </c>
      <c r="G35" s="74">
        <f t="shared" si="11"/>
        <v>17338196</v>
      </c>
      <c r="H35" s="72">
        <f>'Data Input'!R35</f>
        <v>0</v>
      </c>
      <c r="I35" s="74">
        <f>'Data Input'!S35</f>
        <v>0</v>
      </c>
      <c r="J35" s="72">
        <f>'Data Input'!T35</f>
        <v>0</v>
      </c>
      <c r="K35" s="73">
        <f>'Data Input'!U35</f>
        <v>0</v>
      </c>
      <c r="L35" s="73">
        <f>'Data Input'!V35</f>
        <v>0</v>
      </c>
      <c r="M35" s="74">
        <f>'Data Input'!W35</f>
        <v>0</v>
      </c>
      <c r="N35" s="74">
        <f>'Data Input'!K35</f>
        <v>0</v>
      </c>
      <c r="O35" s="71">
        <f t="shared" si="6"/>
        <v>17338196</v>
      </c>
      <c r="P35" s="177">
        <f t="shared" si="0"/>
        <v>2042</v>
      </c>
      <c r="Q35" s="72">
        <f>'Data Input'!X35</f>
        <v>4345000</v>
      </c>
      <c r="R35" s="73">
        <f>'Data Input'!Y35</f>
        <v>1344150</v>
      </c>
      <c r="S35" s="73">
        <f>IF(P35&lt;=YEAR('I. Assumptions'!$E$32), -'VI. Debt Cvrg - Public Entity'!R35, 0)*('I. Assumptions'!$CJ$35=1)</f>
        <v>0</v>
      </c>
      <c r="T35" s="74">
        <f t="shared" si="10"/>
        <v>5689150</v>
      </c>
      <c r="U35" s="73">
        <f>'Data Input'!L35</f>
        <v>3309637.5</v>
      </c>
      <c r="V35" s="71">
        <f t="shared" si="8"/>
        <v>8998787.5</v>
      </c>
      <c r="W35" s="71">
        <f t="shared" si="3"/>
        <v>26336983.5</v>
      </c>
      <c r="X35" s="71">
        <f>'IV. CF - Public Entity'!H33</f>
        <v>105379758.31289026</v>
      </c>
      <c r="Y35" s="108">
        <f t="shared" si="9"/>
        <v>6.0778963574347795</v>
      </c>
      <c r="Z35" s="108">
        <f t="shared" si="4"/>
        <v>4.0012083507167882</v>
      </c>
      <c r="AB35" s="129"/>
      <c r="AE35" s="129"/>
      <c r="AH35" s="129"/>
    </row>
    <row r="36" spans="2:34">
      <c r="B36" s="129"/>
      <c r="C36" s="177">
        <f>'III. CF - Concessionaire'!B38</f>
        <v>2043</v>
      </c>
      <c r="D36" s="72">
        <f>'Data Input'!O36</f>
        <v>14105000</v>
      </c>
      <c r="E36" s="73">
        <f>'Data Input'!P36</f>
        <v>3231783.75</v>
      </c>
      <c r="F36" s="73">
        <f>IF(C36&lt;=YEAR('I. Assumptions'!$E$32), -'VI. Debt Cvrg - Public Entity'!E36, 0)</f>
        <v>0</v>
      </c>
      <c r="G36" s="74">
        <f t="shared" si="11"/>
        <v>17336783.75</v>
      </c>
      <c r="H36" s="72">
        <f>'Data Input'!R36</f>
        <v>0</v>
      </c>
      <c r="I36" s="74">
        <f>'Data Input'!S36</f>
        <v>0</v>
      </c>
      <c r="J36" s="72">
        <f>'Data Input'!T36</f>
        <v>0</v>
      </c>
      <c r="K36" s="73">
        <f>'Data Input'!U36</f>
        <v>0</v>
      </c>
      <c r="L36" s="73">
        <f>'Data Input'!V36</f>
        <v>0</v>
      </c>
      <c r="M36" s="74">
        <f>'Data Input'!W36</f>
        <v>0</v>
      </c>
      <c r="N36" s="74">
        <f>'Data Input'!K36</f>
        <v>0</v>
      </c>
      <c r="O36" s="71">
        <f t="shared" si="6"/>
        <v>17336783.75</v>
      </c>
      <c r="P36" s="177">
        <f t="shared" si="0"/>
        <v>2043</v>
      </c>
      <c r="Q36" s="72">
        <f>'Data Input'!X36</f>
        <v>4610000</v>
      </c>
      <c r="R36" s="73">
        <f>'Data Input'!Y36</f>
        <v>1075500</v>
      </c>
      <c r="S36" s="73">
        <f>IF(P36&lt;=YEAR('I. Assumptions'!$E$32), -'VI. Debt Cvrg - Public Entity'!R36, 0)*('I. Assumptions'!$CJ$35=1)</f>
        <v>0</v>
      </c>
      <c r="T36" s="74">
        <f t="shared" si="10"/>
        <v>5685500</v>
      </c>
      <c r="U36" s="73">
        <f>'Data Input'!L36</f>
        <v>3309656.25</v>
      </c>
      <c r="V36" s="71">
        <f t="shared" si="8"/>
        <v>8995156.25</v>
      </c>
      <c r="W36" s="71">
        <f t="shared" si="3"/>
        <v>26331940</v>
      </c>
      <c r="X36" s="71">
        <f>'IV. CF - Public Entity'!H34</f>
        <v>108886321.59971677</v>
      </c>
      <c r="Y36" s="108">
        <f t="shared" si="9"/>
        <v>6.2806529267411992</v>
      </c>
      <c r="Z36" s="108">
        <f t="shared" si="4"/>
        <v>4.1351424011947762</v>
      </c>
      <c r="AB36" s="129"/>
      <c r="AE36" s="129"/>
      <c r="AH36" s="129"/>
    </row>
    <row r="37" spans="2:34">
      <c r="B37" s="129"/>
      <c r="C37" s="177">
        <f>'III. CF - Concessionaire'!B39</f>
        <v>2044</v>
      </c>
      <c r="D37" s="72">
        <f>'Data Input'!O37</f>
        <v>14965000</v>
      </c>
      <c r="E37" s="73">
        <f>'Data Input'!P37</f>
        <v>2374924</v>
      </c>
      <c r="F37" s="73">
        <f>IF(C37&lt;=YEAR('I. Assumptions'!$E$32), -'VI. Debt Cvrg - Public Entity'!E37, 0)</f>
        <v>0</v>
      </c>
      <c r="G37" s="74">
        <f t="shared" si="11"/>
        <v>17339924</v>
      </c>
      <c r="H37" s="72">
        <f>'Data Input'!R37</f>
        <v>0</v>
      </c>
      <c r="I37" s="74">
        <f>'Data Input'!S37</f>
        <v>0</v>
      </c>
      <c r="J37" s="72">
        <f>'Data Input'!T37</f>
        <v>0</v>
      </c>
      <c r="K37" s="73">
        <f>'Data Input'!U37</f>
        <v>0</v>
      </c>
      <c r="L37" s="73">
        <f>'Data Input'!V37</f>
        <v>0</v>
      </c>
      <c r="M37" s="74">
        <f>'Data Input'!W37</f>
        <v>0</v>
      </c>
      <c r="N37" s="74">
        <f>'Data Input'!K37</f>
        <v>0</v>
      </c>
      <c r="O37" s="71">
        <f t="shared" si="6"/>
        <v>17339924</v>
      </c>
      <c r="P37" s="177">
        <f t="shared" si="0"/>
        <v>2044</v>
      </c>
      <c r="Q37" s="72">
        <f>'Data Input'!X37</f>
        <v>4900000</v>
      </c>
      <c r="R37" s="73">
        <f>'Data Input'!Y37</f>
        <v>790200</v>
      </c>
      <c r="S37" s="73">
        <f>IF(P37&lt;=YEAR('I. Assumptions'!$E$32), -'VI. Debt Cvrg - Public Entity'!R37, 0)*('I. Assumptions'!$CJ$35=1)</f>
        <v>0</v>
      </c>
      <c r="T37" s="74">
        <f t="shared" si="10"/>
        <v>5690200</v>
      </c>
      <c r="U37" s="73">
        <f>'Data Input'!L37</f>
        <v>3309656.25</v>
      </c>
      <c r="V37" s="71">
        <f t="shared" si="8"/>
        <v>8999856.25</v>
      </c>
      <c r="W37" s="71">
        <f t="shared" si="3"/>
        <v>26339780.25</v>
      </c>
      <c r="X37" s="71">
        <f>'IV. CF - Public Entity'!H35</f>
        <v>112528365.91619897</v>
      </c>
      <c r="Y37" s="108">
        <f t="shared" si="9"/>
        <v>6.4895535825992647</v>
      </c>
      <c r="Z37" s="108">
        <f t="shared" si="4"/>
        <v>4.2721831711636611</v>
      </c>
      <c r="AB37" s="129"/>
      <c r="AE37" s="129"/>
      <c r="AH37" s="129"/>
    </row>
    <row r="38" spans="2:34">
      <c r="B38" s="129"/>
      <c r="C38" s="177">
        <f>'III. CF - Concessionaire'!B40</f>
        <v>2045</v>
      </c>
      <c r="D38" s="72">
        <f>'Data Input'!O38</f>
        <v>15875000</v>
      </c>
      <c r="E38" s="73">
        <f>'Data Input'!P38</f>
        <v>1464350.25</v>
      </c>
      <c r="F38" s="73">
        <f>IF(C38&lt;=YEAR('I. Assumptions'!$E$32), -'VI. Debt Cvrg - Public Entity'!E38, 0)</f>
        <v>0</v>
      </c>
      <c r="G38" s="74">
        <f t="shared" si="11"/>
        <v>17339350.25</v>
      </c>
      <c r="H38" s="72">
        <f>'Data Input'!R38</f>
        <v>0</v>
      </c>
      <c r="I38" s="74">
        <f>'Data Input'!S38</f>
        <v>0</v>
      </c>
      <c r="J38" s="72">
        <f>'Data Input'!T38</f>
        <v>0</v>
      </c>
      <c r="K38" s="73">
        <f>'Data Input'!U38</f>
        <v>0</v>
      </c>
      <c r="L38" s="73">
        <f>'Data Input'!V38</f>
        <v>0</v>
      </c>
      <c r="M38" s="74">
        <f>'Data Input'!W38</f>
        <v>0</v>
      </c>
      <c r="N38" s="74">
        <f>'Data Input'!K38</f>
        <v>0</v>
      </c>
      <c r="O38" s="71">
        <f t="shared" si="6"/>
        <v>17339350.25</v>
      </c>
      <c r="P38" s="177">
        <f t="shared" si="0"/>
        <v>2045</v>
      </c>
      <c r="Q38" s="72">
        <f>'Data Input'!X38</f>
        <v>5200000</v>
      </c>
      <c r="R38" s="73">
        <f>'Data Input'!Y38</f>
        <v>487200</v>
      </c>
      <c r="S38" s="73">
        <f>IF(P38&lt;=YEAR('I. Assumptions'!$E$32), -'VI. Debt Cvrg - Public Entity'!R38, 0)*('I. Assumptions'!$CJ$35=1)</f>
        <v>0</v>
      </c>
      <c r="T38" s="74">
        <f t="shared" si="10"/>
        <v>5687200</v>
      </c>
      <c r="U38" s="73">
        <f>'Data Input'!L38</f>
        <v>3309656.25</v>
      </c>
      <c r="V38" s="71">
        <f t="shared" si="8"/>
        <v>8996856.25</v>
      </c>
      <c r="W38" s="71">
        <f t="shared" si="3"/>
        <v>26336206.5</v>
      </c>
      <c r="X38" s="71">
        <f>'IV. CF - Public Entity'!H36</f>
        <v>112528365.91619897</v>
      </c>
      <c r="Y38" s="108">
        <f t="shared" si="9"/>
        <v>6.4897683185215644</v>
      </c>
      <c r="Z38" s="108">
        <f t="shared" si="4"/>
        <v>4.2727628945421188</v>
      </c>
      <c r="AB38" s="129"/>
      <c r="AE38" s="129"/>
      <c r="AH38" s="129"/>
    </row>
    <row r="39" spans="2:34">
      <c r="B39" s="129"/>
      <c r="C39" s="177">
        <f>'III. CF - Concessionaire'!B41</f>
        <v>2046</v>
      </c>
      <c r="D39" s="72">
        <f>'Data Input'!O39</f>
        <v>16840000</v>
      </c>
      <c r="E39" s="73">
        <f>'Data Input'!P39</f>
        <v>497622</v>
      </c>
      <c r="F39" s="73">
        <f>IF(C39&lt;=YEAR('I. Assumptions'!$E$32), -'VI. Debt Cvrg - Public Entity'!E39, 0)</f>
        <v>0</v>
      </c>
      <c r="G39" s="74">
        <f t="shared" si="11"/>
        <v>17337622</v>
      </c>
      <c r="H39" s="72">
        <f>'Data Input'!R39</f>
        <v>0</v>
      </c>
      <c r="I39" s="74">
        <f>'Data Input'!S39</f>
        <v>0</v>
      </c>
      <c r="J39" s="72">
        <f>'Data Input'!T39</f>
        <v>0</v>
      </c>
      <c r="K39" s="73">
        <f>'Data Input'!U39</f>
        <v>0</v>
      </c>
      <c r="L39" s="73">
        <f>'Data Input'!V39</f>
        <v>0</v>
      </c>
      <c r="M39" s="74">
        <f>'Data Input'!W39</f>
        <v>0</v>
      </c>
      <c r="N39" s="74">
        <f>'Data Input'!K39</f>
        <v>0</v>
      </c>
      <c r="O39" s="71">
        <f t="shared" si="6"/>
        <v>17337622</v>
      </c>
      <c r="P39" s="177">
        <f t="shared" si="0"/>
        <v>2046</v>
      </c>
      <c r="Q39" s="72">
        <f>'Data Input'!X39</f>
        <v>5520000</v>
      </c>
      <c r="R39" s="73">
        <f>'Data Input'!Y39</f>
        <v>165600</v>
      </c>
      <c r="S39" s="73">
        <f>IF(P39&lt;=YEAR('I. Assumptions'!E49), -'VI. Debt Cvrg - Public Entity'!R39, 0)</f>
        <v>0</v>
      </c>
      <c r="T39" s="74">
        <f t="shared" si="10"/>
        <v>5685600</v>
      </c>
      <c r="U39" s="73">
        <f>'Data Input'!L39</f>
        <v>3309656.25</v>
      </c>
      <c r="V39" s="71">
        <f t="shared" si="8"/>
        <v>8995256.25</v>
      </c>
      <c r="W39" s="71">
        <f t="shared" si="3"/>
        <v>26332878.25</v>
      </c>
      <c r="X39" s="71">
        <f>'IV. CF - Public Entity'!H37</f>
        <v>112528365.91619897</v>
      </c>
      <c r="Y39" s="108">
        <f t="shared" si="9"/>
        <v>6.4904152320427198</v>
      </c>
      <c r="Z39" s="108">
        <f t="shared" si="4"/>
        <v>4.2733029351320138</v>
      </c>
      <c r="AB39" s="129"/>
      <c r="AE39" s="129"/>
      <c r="AH39" s="129"/>
    </row>
    <row r="40" spans="2:34">
      <c r="B40" s="129"/>
      <c r="C40" s="177">
        <f>'III. CF - Concessionaire'!B42</f>
        <v>2047</v>
      </c>
      <c r="D40" s="72">
        <f>'Data Input'!O40</f>
        <v>0</v>
      </c>
      <c r="E40" s="73">
        <f>'Data Input'!P40</f>
        <v>0</v>
      </c>
      <c r="F40" s="73">
        <f>IF(C40&lt;=YEAR('I. Assumptions'!$E$32), -'VI. Debt Cvrg - Public Entity'!E40, 0)</f>
        <v>0</v>
      </c>
      <c r="G40" s="74">
        <f t="shared" si="11"/>
        <v>0</v>
      </c>
      <c r="H40" s="72">
        <f>'Data Input'!R40</f>
        <v>0</v>
      </c>
      <c r="I40" s="74">
        <f>'Data Input'!S40</f>
        <v>0</v>
      </c>
      <c r="J40" s="72">
        <f>'Data Input'!T40</f>
        <v>0</v>
      </c>
      <c r="K40" s="73">
        <f>'Data Input'!U40</f>
        <v>0</v>
      </c>
      <c r="L40" s="73">
        <f>'Data Input'!V40</f>
        <v>0</v>
      </c>
      <c r="M40" s="74">
        <f>'Data Input'!W40</f>
        <v>0</v>
      </c>
      <c r="N40" s="74">
        <f>'Data Input'!K40</f>
        <v>0</v>
      </c>
      <c r="O40" s="71">
        <f t="shared" ref="O40:O48" si="12">G40+I40+M40+N40</f>
        <v>0</v>
      </c>
      <c r="P40" s="177">
        <f t="shared" ref="P40:P48" si="13">C40</f>
        <v>2047</v>
      </c>
      <c r="Q40" s="72">
        <f>'Data Input'!X40</f>
        <v>0</v>
      </c>
      <c r="R40" s="73">
        <f>'Data Input'!Y40</f>
        <v>0</v>
      </c>
      <c r="S40" s="73">
        <f>IF(P40&lt;=YEAR('I. Assumptions'!E50), -'VI. Debt Cvrg - Public Entity'!R40, 0)</f>
        <v>0</v>
      </c>
      <c r="T40" s="74">
        <f t="shared" si="10"/>
        <v>0</v>
      </c>
      <c r="U40" s="73">
        <f>'Data Input'!L40</f>
        <v>0</v>
      </c>
      <c r="V40" s="71"/>
      <c r="W40" s="71"/>
      <c r="X40" s="71"/>
      <c r="Y40" s="108" t="str">
        <f t="shared" si="9"/>
        <v/>
      </c>
      <c r="Z40" s="108"/>
      <c r="AB40" s="129"/>
      <c r="AE40" s="129"/>
      <c r="AH40" s="129"/>
    </row>
    <row r="41" spans="2:34">
      <c r="B41" s="129"/>
      <c r="C41" s="177">
        <f>'III. CF - Concessionaire'!B43</f>
        <v>2048</v>
      </c>
      <c r="D41" s="72">
        <f>'Data Input'!O41</f>
        <v>0</v>
      </c>
      <c r="E41" s="73">
        <f>'Data Input'!P41</f>
        <v>0</v>
      </c>
      <c r="F41" s="73">
        <f>IF(C41&lt;=YEAR('I. Assumptions'!$E$32), -'VI. Debt Cvrg - Public Entity'!E41, 0)</f>
        <v>0</v>
      </c>
      <c r="G41" s="74">
        <f t="shared" si="11"/>
        <v>0</v>
      </c>
      <c r="H41" s="72">
        <f>'Data Input'!R41</f>
        <v>0</v>
      </c>
      <c r="I41" s="74">
        <f>'Data Input'!S41</f>
        <v>0</v>
      </c>
      <c r="J41" s="72">
        <f>'Data Input'!T41</f>
        <v>0</v>
      </c>
      <c r="K41" s="73">
        <f>'Data Input'!U41</f>
        <v>0</v>
      </c>
      <c r="L41" s="73">
        <f>'Data Input'!V41</f>
        <v>0</v>
      </c>
      <c r="M41" s="74">
        <f>'Data Input'!W41</f>
        <v>0</v>
      </c>
      <c r="N41" s="74">
        <f>'Data Input'!K41</f>
        <v>0</v>
      </c>
      <c r="O41" s="71">
        <f t="shared" si="12"/>
        <v>0</v>
      </c>
      <c r="P41" s="177">
        <f t="shared" si="13"/>
        <v>2048</v>
      </c>
      <c r="Q41" s="72">
        <f>'Data Input'!X41</f>
        <v>0</v>
      </c>
      <c r="R41" s="73">
        <f>'Data Input'!Y41</f>
        <v>0</v>
      </c>
      <c r="S41" s="73">
        <f>IF(P41&lt;=YEAR('I. Assumptions'!E51), -'VI. Debt Cvrg - Public Entity'!R41, 0)</f>
        <v>0</v>
      </c>
      <c r="T41" s="74">
        <f t="shared" si="10"/>
        <v>0</v>
      </c>
      <c r="U41" s="73">
        <f>'Data Input'!L41</f>
        <v>0</v>
      </c>
      <c r="V41" s="71"/>
      <c r="W41" s="71"/>
      <c r="X41" s="71"/>
      <c r="Y41" s="108" t="str">
        <f t="shared" si="9"/>
        <v/>
      </c>
      <c r="Z41" s="108"/>
      <c r="AB41" s="129"/>
      <c r="AE41" s="129"/>
      <c r="AH41" s="129"/>
    </row>
    <row r="42" spans="2:34">
      <c r="B42" s="129"/>
      <c r="C42" s="177">
        <f>'III. CF - Concessionaire'!B44</f>
        <v>2049</v>
      </c>
      <c r="D42" s="72">
        <f>'Data Input'!O42</f>
        <v>0</v>
      </c>
      <c r="E42" s="73">
        <f>'Data Input'!P42</f>
        <v>0</v>
      </c>
      <c r="F42" s="73">
        <f>IF(C42&lt;=YEAR('I. Assumptions'!$E$32), -'VI. Debt Cvrg - Public Entity'!E42, 0)</f>
        <v>0</v>
      </c>
      <c r="G42" s="74">
        <f t="shared" si="11"/>
        <v>0</v>
      </c>
      <c r="H42" s="72">
        <f>'Data Input'!R42</f>
        <v>0</v>
      </c>
      <c r="I42" s="74">
        <f>'Data Input'!S42</f>
        <v>0</v>
      </c>
      <c r="J42" s="72">
        <f>'Data Input'!T42</f>
        <v>0</v>
      </c>
      <c r="K42" s="73">
        <f>'Data Input'!U42</f>
        <v>0</v>
      </c>
      <c r="L42" s="73">
        <f>'Data Input'!V42</f>
        <v>0</v>
      </c>
      <c r="M42" s="74">
        <f>'Data Input'!W42</f>
        <v>0</v>
      </c>
      <c r="N42" s="74">
        <f>'Data Input'!K42</f>
        <v>0</v>
      </c>
      <c r="O42" s="71">
        <f t="shared" si="12"/>
        <v>0</v>
      </c>
      <c r="P42" s="177">
        <f t="shared" si="13"/>
        <v>2049</v>
      </c>
      <c r="Q42" s="72">
        <f>'Data Input'!X42</f>
        <v>0</v>
      </c>
      <c r="R42" s="73">
        <f>'Data Input'!Y42</f>
        <v>0</v>
      </c>
      <c r="S42" s="73">
        <f>IF(P42&lt;=YEAR('I. Assumptions'!E52), -'VI. Debt Cvrg - Public Entity'!R42, 0)</f>
        <v>0</v>
      </c>
      <c r="T42" s="74">
        <f t="shared" si="10"/>
        <v>0</v>
      </c>
      <c r="U42" s="73">
        <f>'Data Input'!L42</f>
        <v>0</v>
      </c>
      <c r="V42" s="71"/>
      <c r="W42" s="71"/>
      <c r="X42" s="71"/>
      <c r="Y42" s="108" t="str">
        <f t="shared" si="9"/>
        <v/>
      </c>
      <c r="Z42" s="108"/>
      <c r="AB42" s="129"/>
      <c r="AE42" s="129"/>
      <c r="AH42" s="129"/>
    </row>
    <row r="43" spans="2:34">
      <c r="B43" s="129"/>
      <c r="C43" s="177">
        <f>'III. CF - Concessionaire'!B45</f>
        <v>2050</v>
      </c>
      <c r="D43" s="72">
        <f>'Data Input'!O43</f>
        <v>0</v>
      </c>
      <c r="E43" s="73">
        <f>'Data Input'!P43</f>
        <v>0</v>
      </c>
      <c r="F43" s="73">
        <f>IF(C43&lt;=YEAR('I. Assumptions'!$E$32), -'VI. Debt Cvrg - Public Entity'!E43, 0)</f>
        <v>0</v>
      </c>
      <c r="G43" s="74">
        <f t="shared" si="11"/>
        <v>0</v>
      </c>
      <c r="H43" s="72">
        <f>'Data Input'!R43</f>
        <v>0</v>
      </c>
      <c r="I43" s="74">
        <f>'Data Input'!S43</f>
        <v>0</v>
      </c>
      <c r="J43" s="72">
        <f>'Data Input'!T43</f>
        <v>0</v>
      </c>
      <c r="K43" s="73">
        <f>'Data Input'!U43</f>
        <v>0</v>
      </c>
      <c r="L43" s="73">
        <f>'Data Input'!V43</f>
        <v>0</v>
      </c>
      <c r="M43" s="74">
        <f>'Data Input'!W43</f>
        <v>0</v>
      </c>
      <c r="N43" s="74">
        <f>'Data Input'!K43</f>
        <v>0</v>
      </c>
      <c r="O43" s="71">
        <f t="shared" si="12"/>
        <v>0</v>
      </c>
      <c r="P43" s="177">
        <f t="shared" si="13"/>
        <v>2050</v>
      </c>
      <c r="Q43" s="72">
        <f>'Data Input'!X43</f>
        <v>0</v>
      </c>
      <c r="R43" s="73">
        <f>'Data Input'!Y43</f>
        <v>0</v>
      </c>
      <c r="S43" s="73">
        <f>IF(P43&lt;=YEAR('I. Assumptions'!E53), -'VI. Debt Cvrg - Public Entity'!R43, 0)</f>
        <v>0</v>
      </c>
      <c r="T43" s="74">
        <f t="shared" si="10"/>
        <v>0</v>
      </c>
      <c r="U43" s="73">
        <f>'Data Input'!L43</f>
        <v>0</v>
      </c>
      <c r="V43" s="71"/>
      <c r="W43" s="71"/>
      <c r="X43" s="71"/>
      <c r="Y43" s="108" t="str">
        <f t="shared" si="9"/>
        <v/>
      </c>
      <c r="Z43" s="108"/>
      <c r="AB43" s="129"/>
      <c r="AE43" s="129"/>
      <c r="AH43" s="129"/>
    </row>
    <row r="44" spans="2:34">
      <c r="B44" s="129"/>
      <c r="C44" s="177">
        <f>'III. CF - Concessionaire'!B46</f>
        <v>2051</v>
      </c>
      <c r="D44" s="72">
        <f>'Data Input'!O44</f>
        <v>0</v>
      </c>
      <c r="E44" s="73">
        <f>'Data Input'!P44</f>
        <v>0</v>
      </c>
      <c r="F44" s="73">
        <f>IF(C44&lt;=YEAR('I. Assumptions'!$E$32), -'VI. Debt Cvrg - Public Entity'!E44, 0)</f>
        <v>0</v>
      </c>
      <c r="G44" s="74">
        <f t="shared" si="11"/>
        <v>0</v>
      </c>
      <c r="H44" s="72">
        <f>'Data Input'!R44</f>
        <v>0</v>
      </c>
      <c r="I44" s="74">
        <f>'Data Input'!S44</f>
        <v>0</v>
      </c>
      <c r="J44" s="72">
        <f>'Data Input'!T44</f>
        <v>0</v>
      </c>
      <c r="K44" s="73">
        <f>'Data Input'!U44</f>
        <v>0</v>
      </c>
      <c r="L44" s="73">
        <f>'Data Input'!V44</f>
        <v>0</v>
      </c>
      <c r="M44" s="74">
        <f>'Data Input'!W44</f>
        <v>0</v>
      </c>
      <c r="N44" s="74">
        <f>'Data Input'!K44</f>
        <v>0</v>
      </c>
      <c r="O44" s="71">
        <f t="shared" si="12"/>
        <v>0</v>
      </c>
      <c r="P44" s="177">
        <f t="shared" si="13"/>
        <v>2051</v>
      </c>
      <c r="Q44" s="72">
        <f>'Data Input'!X44</f>
        <v>0</v>
      </c>
      <c r="R44" s="73">
        <f>'Data Input'!Y44</f>
        <v>0</v>
      </c>
      <c r="S44" s="73">
        <f>IF(P44&lt;=YEAR('I. Assumptions'!E54), -'VI. Debt Cvrg - Public Entity'!R44, 0)</f>
        <v>0</v>
      </c>
      <c r="T44" s="74">
        <f t="shared" si="10"/>
        <v>0</v>
      </c>
      <c r="U44" s="73">
        <f>'Data Input'!L44</f>
        <v>0</v>
      </c>
      <c r="V44" s="71"/>
      <c r="W44" s="71"/>
      <c r="X44" s="71"/>
      <c r="Y44" s="108" t="str">
        <f t="shared" si="9"/>
        <v/>
      </c>
      <c r="Z44" s="108"/>
      <c r="AB44" s="129"/>
      <c r="AE44" s="129"/>
      <c r="AH44" s="129"/>
    </row>
    <row r="45" spans="2:34">
      <c r="B45" s="129"/>
      <c r="C45" s="177">
        <f>'III. CF - Concessionaire'!B47</f>
        <v>2052</v>
      </c>
      <c r="D45" s="72">
        <f>'Data Input'!O45</f>
        <v>0</v>
      </c>
      <c r="E45" s="73">
        <f>'Data Input'!P45</f>
        <v>0</v>
      </c>
      <c r="F45" s="73">
        <f>IF(C45&lt;=YEAR('I. Assumptions'!$E$32), -'VI. Debt Cvrg - Public Entity'!E45, 0)</f>
        <v>0</v>
      </c>
      <c r="G45" s="74">
        <f t="shared" si="11"/>
        <v>0</v>
      </c>
      <c r="H45" s="72">
        <f>'Data Input'!R45</f>
        <v>0</v>
      </c>
      <c r="I45" s="74">
        <f>'Data Input'!S45</f>
        <v>0</v>
      </c>
      <c r="J45" s="72">
        <f>'Data Input'!T45</f>
        <v>0</v>
      </c>
      <c r="K45" s="73">
        <f>'Data Input'!U45</f>
        <v>0</v>
      </c>
      <c r="L45" s="73">
        <f>'Data Input'!V45</f>
        <v>0</v>
      </c>
      <c r="M45" s="74">
        <f>'Data Input'!W45</f>
        <v>0</v>
      </c>
      <c r="N45" s="74">
        <f>'Data Input'!K45</f>
        <v>0</v>
      </c>
      <c r="O45" s="71">
        <f t="shared" si="12"/>
        <v>0</v>
      </c>
      <c r="P45" s="177">
        <f t="shared" si="13"/>
        <v>2052</v>
      </c>
      <c r="Q45" s="72">
        <f>'Data Input'!X45</f>
        <v>0</v>
      </c>
      <c r="R45" s="73">
        <f>'Data Input'!Y45</f>
        <v>0</v>
      </c>
      <c r="S45" s="73">
        <f>IF(P45&lt;=YEAR('I. Assumptions'!E55), -'VI. Debt Cvrg - Public Entity'!R45, 0)</f>
        <v>0</v>
      </c>
      <c r="T45" s="74">
        <f t="shared" si="10"/>
        <v>0</v>
      </c>
      <c r="U45" s="73">
        <f>'Data Input'!L45</f>
        <v>0</v>
      </c>
      <c r="V45" s="71"/>
      <c r="W45" s="71"/>
      <c r="X45" s="71"/>
      <c r="Y45" s="108" t="str">
        <f t="shared" si="9"/>
        <v/>
      </c>
      <c r="Z45" s="108"/>
      <c r="AB45" s="129"/>
      <c r="AE45" s="129"/>
      <c r="AH45" s="129"/>
    </row>
    <row r="46" spans="2:34">
      <c r="B46" s="129"/>
      <c r="C46" s="177">
        <f>'III. CF - Concessionaire'!B48</f>
        <v>2053</v>
      </c>
      <c r="D46" s="72">
        <f>'Data Input'!O46</f>
        <v>0</v>
      </c>
      <c r="E46" s="73">
        <f>'Data Input'!P46</f>
        <v>0</v>
      </c>
      <c r="F46" s="73">
        <f>IF(C46&lt;=YEAR('I. Assumptions'!$E$32), -'VI. Debt Cvrg - Public Entity'!E46, 0)</f>
        <v>0</v>
      </c>
      <c r="G46" s="74">
        <f t="shared" si="11"/>
        <v>0</v>
      </c>
      <c r="H46" s="72">
        <f>'Data Input'!R46</f>
        <v>0</v>
      </c>
      <c r="I46" s="74">
        <f>'Data Input'!S46</f>
        <v>0</v>
      </c>
      <c r="J46" s="72">
        <f>'Data Input'!T46</f>
        <v>0</v>
      </c>
      <c r="K46" s="73">
        <f>'Data Input'!U46</f>
        <v>0</v>
      </c>
      <c r="L46" s="73">
        <f>'Data Input'!V46</f>
        <v>0</v>
      </c>
      <c r="M46" s="74">
        <f>'Data Input'!W46</f>
        <v>0</v>
      </c>
      <c r="N46" s="74">
        <f>'Data Input'!K46</f>
        <v>0</v>
      </c>
      <c r="O46" s="71">
        <f t="shared" si="12"/>
        <v>0</v>
      </c>
      <c r="P46" s="177">
        <f t="shared" si="13"/>
        <v>2053</v>
      </c>
      <c r="Q46" s="72">
        <f>'Data Input'!X46</f>
        <v>0</v>
      </c>
      <c r="R46" s="73">
        <f>'Data Input'!Y46</f>
        <v>0</v>
      </c>
      <c r="S46" s="73">
        <f>IF(P46&lt;=YEAR('I. Assumptions'!E56), -'VI. Debt Cvrg - Public Entity'!R46, 0)</f>
        <v>0</v>
      </c>
      <c r="T46" s="74">
        <f t="shared" si="10"/>
        <v>0</v>
      </c>
      <c r="U46" s="73">
        <f>'Data Input'!L46</f>
        <v>0</v>
      </c>
      <c r="V46" s="71"/>
      <c r="W46" s="71"/>
      <c r="X46" s="71"/>
      <c r="Y46" s="108" t="str">
        <f t="shared" si="9"/>
        <v/>
      </c>
      <c r="Z46" s="108"/>
      <c r="AB46" s="129"/>
      <c r="AE46" s="129"/>
      <c r="AH46" s="129"/>
    </row>
    <row r="47" spans="2:34">
      <c r="B47" s="129"/>
      <c r="C47" s="177">
        <f>'III. CF - Concessionaire'!B49</f>
        <v>2054</v>
      </c>
      <c r="D47" s="72">
        <f>'Data Input'!O47</f>
        <v>0</v>
      </c>
      <c r="E47" s="73">
        <f>'Data Input'!P47</f>
        <v>0</v>
      </c>
      <c r="F47" s="73">
        <f>IF(C47&lt;=YEAR('I. Assumptions'!$E$32), -'VI. Debt Cvrg - Public Entity'!E47, 0)</f>
        <v>0</v>
      </c>
      <c r="G47" s="74">
        <f t="shared" si="11"/>
        <v>0</v>
      </c>
      <c r="H47" s="72">
        <f>'Data Input'!R47</f>
        <v>0</v>
      </c>
      <c r="I47" s="74">
        <f>'Data Input'!S47</f>
        <v>0</v>
      </c>
      <c r="J47" s="72">
        <f>'Data Input'!T47</f>
        <v>0</v>
      </c>
      <c r="K47" s="73">
        <f>'Data Input'!U47</f>
        <v>0</v>
      </c>
      <c r="L47" s="73">
        <f>'Data Input'!V47</f>
        <v>0</v>
      </c>
      <c r="M47" s="74">
        <f>'Data Input'!W47</f>
        <v>0</v>
      </c>
      <c r="N47" s="74">
        <f>'Data Input'!K47</f>
        <v>0</v>
      </c>
      <c r="O47" s="71">
        <f t="shared" si="12"/>
        <v>0</v>
      </c>
      <c r="P47" s="177">
        <f t="shared" si="13"/>
        <v>2054</v>
      </c>
      <c r="Q47" s="72">
        <f>'Data Input'!X47</f>
        <v>0</v>
      </c>
      <c r="R47" s="73">
        <f>'Data Input'!Y47</f>
        <v>0</v>
      </c>
      <c r="S47" s="73">
        <f>IF(P47&lt;=YEAR('I. Assumptions'!E57), -'VI. Debt Cvrg - Public Entity'!R47, 0)</f>
        <v>0</v>
      </c>
      <c r="T47" s="74">
        <f t="shared" si="10"/>
        <v>0</v>
      </c>
      <c r="U47" s="73">
        <f>'Data Input'!L47</f>
        <v>0</v>
      </c>
      <c r="V47" s="71"/>
      <c r="W47" s="71"/>
      <c r="X47" s="71"/>
      <c r="Y47" s="108" t="str">
        <f t="shared" si="9"/>
        <v/>
      </c>
      <c r="Z47" s="108"/>
      <c r="AB47" s="129"/>
      <c r="AE47" s="129"/>
      <c r="AH47" s="129"/>
    </row>
    <row r="48" spans="2:34">
      <c r="B48" s="129"/>
      <c r="C48" s="192">
        <f>'III. CF - Concessionaire'!B50</f>
        <v>2055</v>
      </c>
      <c r="D48" s="76">
        <f>'Data Input'!O48</f>
        <v>0</v>
      </c>
      <c r="E48" s="77">
        <f>'Data Input'!P48</f>
        <v>0</v>
      </c>
      <c r="F48" s="77">
        <f>IF(C48&lt;=YEAR('I. Assumptions'!$E$32), -'VI. Debt Cvrg - Public Entity'!E48, 0)</f>
        <v>0</v>
      </c>
      <c r="G48" s="78">
        <f t="shared" si="11"/>
        <v>0</v>
      </c>
      <c r="H48" s="76">
        <f>'Data Input'!R48</f>
        <v>0</v>
      </c>
      <c r="I48" s="78">
        <f>'Data Input'!S48</f>
        <v>0</v>
      </c>
      <c r="J48" s="76">
        <f>'Data Input'!T48</f>
        <v>0</v>
      </c>
      <c r="K48" s="77">
        <f>'Data Input'!U48</f>
        <v>0</v>
      </c>
      <c r="L48" s="77">
        <f>'Data Input'!V48</f>
        <v>0</v>
      </c>
      <c r="M48" s="78">
        <f>'Data Input'!W48</f>
        <v>0</v>
      </c>
      <c r="N48" s="78">
        <f>'Data Input'!K48</f>
        <v>0</v>
      </c>
      <c r="O48" s="75">
        <f t="shared" si="12"/>
        <v>0</v>
      </c>
      <c r="P48" s="192">
        <f t="shared" si="13"/>
        <v>2055</v>
      </c>
      <c r="Q48" s="76">
        <f>'Data Input'!X48</f>
        <v>0</v>
      </c>
      <c r="R48" s="77">
        <f>'Data Input'!Y48</f>
        <v>0</v>
      </c>
      <c r="S48" s="77">
        <f>IF(P48&lt;=YEAR('I. Assumptions'!E58), -'VI. Debt Cvrg - Public Entity'!R48, 0)</f>
        <v>0</v>
      </c>
      <c r="T48" s="78">
        <f t="shared" si="10"/>
        <v>0</v>
      </c>
      <c r="U48" s="77">
        <f>'Data Input'!L48</f>
        <v>0</v>
      </c>
      <c r="V48" s="75"/>
      <c r="W48" s="75"/>
      <c r="X48" s="75"/>
      <c r="Y48" s="109" t="str">
        <f t="shared" si="9"/>
        <v/>
      </c>
      <c r="Z48" s="109"/>
      <c r="AB48" s="129"/>
      <c r="AE48" s="129"/>
      <c r="AH48" s="129"/>
    </row>
    <row r="49" spans="3:24">
      <c r="C49" s="2" t="s">
        <v>5</v>
      </c>
      <c r="D49" s="116">
        <f>SUM(D8:D48)</f>
        <v>111985000</v>
      </c>
      <c r="E49" s="116">
        <f t="shared" ref="E49:O49" si="14">SUM(E8:E48)</f>
        <v>173994018.75</v>
      </c>
      <c r="F49" s="116">
        <f t="shared" si="14"/>
        <v>-26119174</v>
      </c>
      <c r="G49" s="116">
        <f t="shared" si="14"/>
        <v>259859844.75</v>
      </c>
      <c r="H49" s="116">
        <f t="shared" si="14"/>
        <v>31063986.300000001</v>
      </c>
      <c r="I49" s="116">
        <f t="shared" si="14"/>
        <v>50530000</v>
      </c>
      <c r="J49" s="116">
        <f t="shared" si="14"/>
        <v>27845010.449999999</v>
      </c>
      <c r="K49" s="116">
        <f t="shared" si="14"/>
        <v>47845000</v>
      </c>
      <c r="L49" s="116">
        <f t="shared" si="14"/>
        <v>22615607.75</v>
      </c>
      <c r="M49" s="116">
        <f t="shared" si="14"/>
        <v>70460607.75</v>
      </c>
      <c r="N49" s="116">
        <f t="shared" si="14"/>
        <v>280348029.24000001</v>
      </c>
      <c r="O49" s="116">
        <f t="shared" si="14"/>
        <v>661198481.74000001</v>
      </c>
      <c r="P49" s="116"/>
      <c r="Q49" s="116">
        <f t="shared" ref="Q49:X49" si="15">SUM(Q8:Q39)</f>
        <v>56180000</v>
      </c>
      <c r="R49" s="116">
        <f t="shared" si="15"/>
        <v>80640300</v>
      </c>
      <c r="S49" s="116">
        <f t="shared" si="15"/>
        <v>-13483200</v>
      </c>
      <c r="T49" s="116">
        <f t="shared" si="15"/>
        <v>123337100</v>
      </c>
      <c r="U49" s="116">
        <f t="shared" si="15"/>
        <v>143488863.88</v>
      </c>
      <c r="V49" s="116">
        <f t="shared" si="15"/>
        <v>266825963.88000003</v>
      </c>
      <c r="W49" s="116">
        <f t="shared" si="15"/>
        <v>928024445.62</v>
      </c>
      <c r="X49" s="116">
        <f t="shared" si="15"/>
        <v>2202415343.9712601</v>
      </c>
    </row>
    <row r="50" spans="3:24"/>
    <row r="51" spans="3:24"/>
    <row r="52" spans="3:24"/>
    <row r="53" spans="3:24"/>
    <row r="54" spans="3:24"/>
    <row r="55" spans="3:24"/>
    <row r="56" spans="3:24"/>
    <row r="57" spans="3:24"/>
  </sheetData>
  <mergeCells count="8">
    <mergeCell ref="C5:C7"/>
    <mergeCell ref="P5:P7"/>
    <mergeCell ref="D6:G6"/>
    <mergeCell ref="D5:O5"/>
    <mergeCell ref="Q5:V5"/>
    <mergeCell ref="H6:I6"/>
    <mergeCell ref="J6:M6"/>
    <mergeCell ref="Q6:T6"/>
  </mergeCells>
  <printOptions horizontalCentered="1"/>
  <pageMargins left="0.7" right="0.7" top="0.75" bottom="0.75" header="0.3" footer="0.3"/>
  <pageSetup scale="70" fitToWidth="2" orientation="landscape" r:id="rId1"/>
  <headerFooter scaleWithDoc="0">
    <oddFooter xml:space="preserve">&amp;L&amp;"Arial,Regular"&amp;7Port Concession Evaluation Model&amp;R&amp;"Arial,Regular"&amp;7Copyright Public Financial Management, Inc. </oddFooter>
  </headerFooter>
  <colBreaks count="1" manualBreakCount="1">
    <brk id="15" min="2" max="4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tint="0.59999389629810485"/>
    <pageSetUpPr autoPageBreaks="0"/>
  </sheetPr>
  <dimension ref="A1:AU126"/>
  <sheetViews>
    <sheetView tabSelected="1" zoomScale="70" zoomScaleNormal="70" zoomScaleSheetLayoutView="55" workbookViewId="0">
      <selection activeCell="B1" sqref="B1"/>
    </sheetView>
  </sheetViews>
  <sheetFormatPr defaultColWidth="0" defaultRowHeight="17.399999999999999" zeroHeight="1"/>
  <cols>
    <col min="1" max="1" width="18.875" style="36" customWidth="1"/>
    <col min="2" max="2" width="13.875" style="36" customWidth="1"/>
    <col min="3" max="3" width="15.625" style="35" customWidth="1"/>
    <col min="4" max="4" width="31.625" style="35" customWidth="1"/>
    <col min="5" max="5" width="27" style="35" customWidth="1"/>
    <col min="6" max="7" width="26.875" style="35" bestFit="1" customWidth="1"/>
    <col min="8" max="10" width="30.375" style="35" customWidth="1"/>
    <col min="11" max="11" width="15.625" style="35" customWidth="1"/>
    <col min="12" max="12" width="25.625" style="35" customWidth="1"/>
    <col min="13" max="14" width="23" style="35" customWidth="1"/>
    <col min="15" max="15" width="24.875" style="35" customWidth="1"/>
    <col min="16" max="16" width="26" style="35" customWidth="1"/>
    <col min="17" max="17" width="23" style="35" customWidth="1"/>
    <col min="18" max="18" width="25.125" style="35" customWidth="1"/>
    <col min="19" max="19" width="26.875" style="35" bestFit="1" customWidth="1"/>
    <col min="20" max="20" width="24.5" style="7" customWidth="1"/>
    <col min="21" max="22" width="23" style="7" customWidth="1"/>
    <col min="23" max="24" width="26.875" style="7" customWidth="1"/>
    <col min="25" max="25" width="26.875" style="7" hidden="1" customWidth="1"/>
    <col min="26" max="26" width="21.5" style="7" hidden="1" customWidth="1"/>
    <col min="27" max="27" width="13.875" style="7" hidden="1" customWidth="1"/>
    <col min="28" max="28" width="16" style="7" hidden="1" customWidth="1"/>
    <col min="29" max="29" width="24.375" style="7" hidden="1" customWidth="1"/>
    <col min="30" max="30" width="13.875" style="7" hidden="1" customWidth="1"/>
    <col min="31" max="31" width="14" style="7" hidden="1" customWidth="1"/>
    <col min="32" max="32" width="13.875" style="7" hidden="1" customWidth="1"/>
    <col min="33" max="39" width="0" style="7" hidden="1" customWidth="1"/>
    <col min="40" max="47" width="0" style="36" hidden="1" customWidth="1"/>
    <col min="48" max="16384" width="13.875" style="36" hidden="1"/>
  </cols>
  <sheetData>
    <row r="1" spans="1:40">
      <c r="B1" s="110"/>
      <c r="C1" s="38"/>
      <c r="D1" s="38"/>
      <c r="E1" s="37"/>
      <c r="F1" s="36"/>
      <c r="G1" s="36"/>
      <c r="H1" s="36"/>
      <c r="I1" s="36"/>
      <c r="J1" s="36"/>
      <c r="K1" s="38"/>
      <c r="L1" s="39"/>
      <c r="M1" s="36"/>
      <c r="N1" s="36"/>
      <c r="O1" s="38"/>
      <c r="P1" s="40"/>
      <c r="Q1" s="38"/>
      <c r="R1" s="38"/>
      <c r="S1" s="38"/>
    </row>
    <row r="2" spans="1:40">
      <c r="B2" s="110"/>
      <c r="C2" s="41"/>
      <c r="D2" s="36"/>
      <c r="E2" s="36"/>
      <c r="F2" s="36"/>
      <c r="G2" s="36"/>
      <c r="H2" s="36"/>
      <c r="I2" s="36"/>
      <c r="J2" s="36"/>
      <c r="K2" s="41"/>
      <c r="L2" s="36"/>
      <c r="M2" s="36"/>
      <c r="N2" s="36"/>
      <c r="O2" s="36"/>
      <c r="P2" s="36"/>
      <c r="Q2" s="36"/>
      <c r="R2" s="36"/>
      <c r="S2" s="36"/>
    </row>
    <row r="3" spans="1:40" ht="40.5" customHeight="1">
      <c r="B3" s="111"/>
      <c r="C3" s="221" t="s">
        <v>129</v>
      </c>
      <c r="D3" s="221"/>
      <c r="E3" s="221"/>
      <c r="F3" s="221"/>
      <c r="G3" s="221"/>
      <c r="H3" s="221"/>
      <c r="I3" s="221"/>
      <c r="J3" s="221"/>
      <c r="K3" s="221" t="s">
        <v>129</v>
      </c>
      <c r="L3" s="221"/>
      <c r="M3" s="221"/>
      <c r="N3" s="221"/>
      <c r="O3" s="221"/>
      <c r="P3" s="221"/>
      <c r="Q3" s="221"/>
      <c r="R3" s="221"/>
      <c r="S3" s="221"/>
    </row>
    <row r="4" spans="1:40" s="112" customFormat="1" ht="58.5" customHeight="1">
      <c r="C4" s="42" t="s">
        <v>0</v>
      </c>
      <c r="D4" s="43" t="s">
        <v>88</v>
      </c>
      <c r="E4" s="44" t="s">
        <v>28</v>
      </c>
      <c r="F4" s="46" t="s">
        <v>11</v>
      </c>
      <c r="G4" s="47" t="s">
        <v>90</v>
      </c>
      <c r="H4" s="48" t="s">
        <v>59</v>
      </c>
      <c r="I4" s="48" t="s">
        <v>130</v>
      </c>
      <c r="J4" s="48" t="s">
        <v>112</v>
      </c>
      <c r="K4" s="42" t="s">
        <v>0</v>
      </c>
      <c r="L4" s="49" t="s">
        <v>20</v>
      </c>
      <c r="M4" s="44" t="s">
        <v>21</v>
      </c>
      <c r="N4" s="44" t="s">
        <v>22</v>
      </c>
      <c r="O4" s="44" t="s">
        <v>23</v>
      </c>
      <c r="P4" s="44" t="s">
        <v>24</v>
      </c>
      <c r="Q4" s="44" t="s">
        <v>25</v>
      </c>
      <c r="R4" s="45" t="s">
        <v>26</v>
      </c>
      <c r="S4" s="45" t="s">
        <v>27</v>
      </c>
      <c r="T4" s="115"/>
      <c r="U4" s="115"/>
      <c r="V4" s="115"/>
      <c r="W4" s="115"/>
      <c r="X4" s="115"/>
      <c r="Y4" s="115"/>
      <c r="Z4" s="115"/>
      <c r="AA4" s="115"/>
      <c r="AB4" s="115"/>
      <c r="AC4" s="115"/>
      <c r="AD4" s="115"/>
      <c r="AE4" s="115"/>
      <c r="AF4" s="115"/>
      <c r="AG4" s="115"/>
      <c r="AH4" s="115"/>
      <c r="AI4" s="115"/>
      <c r="AJ4" s="115"/>
      <c r="AK4" s="115"/>
      <c r="AL4" s="115"/>
      <c r="AM4" s="115"/>
    </row>
    <row r="5" spans="1:40" s="7" customFormat="1" ht="18.899999999999999" customHeight="1">
      <c r="A5" s="114"/>
      <c r="B5" s="113"/>
      <c r="C5" s="202">
        <f>'III. CF - Concessionaire'!B10</f>
        <v>2015</v>
      </c>
      <c r="D5" s="50">
        <f>'III. CF - Concessionaire'!C10</f>
        <v>10615866.581421999</v>
      </c>
      <c r="E5" s="117">
        <f>-'III. CF - Concessionaire'!D10</f>
        <v>-7255944.8084019367</v>
      </c>
      <c r="F5" s="50">
        <f>-IFERROR(VLOOKUP(C5, 'VIII. Depreciation'!$C$11:$E$40, COLUMNS('VIII. Depreciation'!$C$11:$E$40), 0), 0)</f>
        <v>0</v>
      </c>
      <c r="G5" s="50">
        <f>-'III. CF - Concessionaire'!E10</f>
        <v>0</v>
      </c>
      <c r="H5" s="52">
        <f>-'III. CF - Concessionaire'!F10</f>
        <v>-638385.13687381195</v>
      </c>
      <c r="I5" s="52">
        <f>-'III. CF - Concessionaire'!H10</f>
        <v>0</v>
      </c>
      <c r="J5" s="52">
        <f>-'III. CF - Concessionaire'!I10</f>
        <v>-167996.08865100314</v>
      </c>
      <c r="K5" s="202">
        <f>C5</f>
        <v>2015</v>
      </c>
      <c r="L5" s="52">
        <f>SUM(D5:J5)</f>
        <v>2553540.5474952473</v>
      </c>
      <c r="M5" s="51">
        <f>IF($L5&lt;0,$L5+0,0)</f>
        <v>0</v>
      </c>
      <c r="N5" s="51">
        <f>IF($L5&lt;0,$L5+0,0)</f>
        <v>0</v>
      </c>
      <c r="O5" s="51">
        <f>MAX(0,$L5*'I. Assumptions'!$E$11)</f>
        <v>0</v>
      </c>
      <c r="P5" s="51">
        <f>MAX(0,$L5*'I. Assumptions'!$E$12)</f>
        <v>893739.19162333652</v>
      </c>
      <c r="Q5" s="51"/>
      <c r="R5" s="51"/>
      <c r="S5" s="53">
        <f t="shared" ref="S5:S53" si="0">IF(R5&lt;0,0,O5+P5)</f>
        <v>893739.19162333652</v>
      </c>
      <c r="AN5" s="36"/>
    </row>
    <row r="6" spans="1:40" s="7" customFormat="1" ht="18.899999999999999" customHeight="1">
      <c r="A6" s="114"/>
      <c r="B6" s="113"/>
      <c r="C6" s="202">
        <f>'III. CF - Concessionaire'!B11</f>
        <v>2016</v>
      </c>
      <c r="D6" s="50">
        <f>'III. CF - Concessionaire'!C11</f>
        <v>26893532.122798398</v>
      </c>
      <c r="E6" s="51">
        <f>-'III. CF - Concessionaire'!D11</f>
        <v>-18381729.205932707</v>
      </c>
      <c r="F6" s="50">
        <f>-IFERROR(VLOOKUP(C6, 'VIII. Depreciation'!$C$11:$E$40, COLUMNS('VIII. Depreciation'!$C$11:$E$40), 0), 0)</f>
        <v>0</v>
      </c>
      <c r="G6" s="50">
        <f>-'III. CF - Concessionaire'!E11</f>
        <v>0</v>
      </c>
      <c r="H6" s="52">
        <f>-'III. CF - Concessionaire'!F11</f>
        <v>-1617242.5542044814</v>
      </c>
      <c r="I6" s="52">
        <f>-'III. CF - Concessionaire'!H11</f>
        <v>0</v>
      </c>
      <c r="J6" s="52">
        <f>-'III. CF - Concessionaire'!I11</f>
        <v>-425590.14584328461</v>
      </c>
      <c r="K6" s="202">
        <f t="shared" ref="K6:K56" si="1">C6</f>
        <v>2016</v>
      </c>
      <c r="L6" s="52">
        <f t="shared" ref="L6:L56" si="2">SUM(D6:J6)</f>
        <v>6468970.2168179257</v>
      </c>
      <c r="M6" s="51">
        <f>IF($L6&lt;0,$L6+0,0)</f>
        <v>0</v>
      </c>
      <c r="N6" s="51">
        <f>IF($L6&lt;0,$L6+0,0)</f>
        <v>0</v>
      </c>
      <c r="O6" s="51">
        <f>MAX(0,$L6*'I. Assumptions'!$E$11)</f>
        <v>0</v>
      </c>
      <c r="P6" s="51">
        <f>MAX(0,$L6*'I. Assumptions'!$E$12)</f>
        <v>2264139.5758862738</v>
      </c>
      <c r="Q6" s="51">
        <f t="shared" ref="Q6" si="3">MIN(-R5,L6)*(L6&gt;0)</f>
        <v>0</v>
      </c>
      <c r="R6" s="51">
        <f>(MIN($M$6:$N$56)+SUM(Q$5:Q6))*(L6&lt;0)</f>
        <v>0</v>
      </c>
      <c r="S6" s="53">
        <f t="shared" si="0"/>
        <v>2264139.5758862738</v>
      </c>
      <c r="AN6" s="36"/>
    </row>
    <row r="7" spans="1:40" s="7" customFormat="1" ht="18.899999999999999" customHeight="1">
      <c r="A7" s="114"/>
      <c r="B7" s="113"/>
      <c r="C7" s="202">
        <f>'III. CF - Concessionaire'!B12</f>
        <v>2017</v>
      </c>
      <c r="D7" s="50">
        <f>'III. CF - Concessionaire'!C12</f>
        <v>31463430.663299501</v>
      </c>
      <c r="E7" s="51">
        <f>-'III. CF - Concessionaire'!D12</f>
        <v>-21505254.858365208</v>
      </c>
      <c r="F7" s="50">
        <f>-IFERROR(VLOOKUP(C7, 'VIII. Depreciation'!$C$11:$E$40, COLUMNS('VIII. Depreciation'!$C$11:$E$40), 0), 0)</f>
        <v>0</v>
      </c>
      <c r="G7" s="50">
        <f>-'III. CF - Concessionaire'!E12</f>
        <v>0</v>
      </c>
      <c r="H7" s="52">
        <f>-'III. CF - Concessionaire'!F12</f>
        <v>-1892053.4029375156</v>
      </c>
      <c r="I7" s="52">
        <f>-'III. CF - Concessionaire'!H12</f>
        <v>0</v>
      </c>
      <c r="J7" s="52">
        <f>-'III. CF - Concessionaire'!I12</f>
        <v>-497908.79024671466</v>
      </c>
      <c r="K7" s="202">
        <f t="shared" si="1"/>
        <v>2017</v>
      </c>
      <c r="L7" s="52">
        <f t="shared" si="2"/>
        <v>7568213.6117500626</v>
      </c>
      <c r="M7" s="51">
        <f>IF($L7&lt;0,$L7+M6,0)</f>
        <v>0</v>
      </c>
      <c r="N7" s="51">
        <f>IF($L7&lt;0,$L7+N6,0)</f>
        <v>0</v>
      </c>
      <c r="O7" s="51">
        <f>MAX(0,$L7*'I. Assumptions'!$E$11)</f>
        <v>0</v>
      </c>
      <c r="P7" s="51">
        <f>MAX(0,$L7*'I. Assumptions'!$E$12)</f>
        <v>2648874.7641125219</v>
      </c>
      <c r="Q7" s="51">
        <f>MIN(-R6,L7)*(L7&gt;0)</f>
        <v>0</v>
      </c>
      <c r="R7" s="51">
        <f>(MIN($M$6:$N$56)+SUM(Q$5:Q7))*(L7&lt;0)</f>
        <v>0</v>
      </c>
      <c r="S7" s="53">
        <f t="shared" si="0"/>
        <v>2648874.7641125219</v>
      </c>
      <c r="AN7" s="36"/>
    </row>
    <row r="8" spans="1:40" ht="18.899999999999999" customHeight="1">
      <c r="A8" s="114"/>
      <c r="B8" s="113"/>
      <c r="C8" s="202">
        <f>'III. CF - Concessionaire'!B13</f>
        <v>2018</v>
      </c>
      <c r="D8" s="50">
        <f>'III. CF - Concessionaire'!C13</f>
        <v>36345526.392493501</v>
      </c>
      <c r="E8" s="51">
        <f>-'III. CF - Concessionaire'!D13</f>
        <v>-24842167.289269309</v>
      </c>
      <c r="F8" s="50">
        <f>-IFERROR(VLOOKUP(C8, 'VIII. Depreciation'!$C$11:$E$40, COLUMNS('VIII. Depreciation'!$C$11:$E$40), 0), 0)</f>
        <v>0</v>
      </c>
      <c r="G8" s="50">
        <f>-'III. CF - Concessionaire'!E13</f>
        <v>0</v>
      </c>
      <c r="H8" s="52">
        <f>-'III. CF - Concessionaire'!F13</f>
        <v>-2185638.2296125963</v>
      </c>
      <c r="I8" s="52">
        <f>-'III. CF - Concessionaire'!H13</f>
        <v>0</v>
      </c>
      <c r="J8" s="52">
        <f>-'III. CF - Concessionaire'!I13</f>
        <v>-575167.95516120957</v>
      </c>
      <c r="K8" s="202">
        <f t="shared" si="1"/>
        <v>2018</v>
      </c>
      <c r="L8" s="52">
        <f t="shared" si="2"/>
        <v>8742552.9184503853</v>
      </c>
      <c r="M8" s="51">
        <f t="shared" ref="M8:N23" si="4">IF($L8&lt;0,$L8+M7,0)</f>
        <v>0</v>
      </c>
      <c r="N8" s="51">
        <f t="shared" si="4"/>
        <v>0</v>
      </c>
      <c r="O8" s="51">
        <f>MAX(0,$L8*'I. Assumptions'!$E$11)</f>
        <v>0</v>
      </c>
      <c r="P8" s="51">
        <f>MAX(0,$L8*'I. Assumptions'!$E$12)</f>
        <v>3059893.5214576349</v>
      </c>
      <c r="Q8" s="51">
        <f t="shared" ref="Q8:Q56" si="5">MIN(-R7,L8)*(L8&gt;0)</f>
        <v>0</v>
      </c>
      <c r="R8" s="51">
        <f>(MIN($M$6:$N$56)+SUM(Q$5:Q8))*(L8&lt;0)</f>
        <v>0</v>
      </c>
      <c r="S8" s="53">
        <f t="shared" si="0"/>
        <v>3059893.5214576349</v>
      </c>
    </row>
    <row r="9" spans="1:40" ht="18.899999999999999" customHeight="1">
      <c r="A9" s="114"/>
      <c r="B9" s="113"/>
      <c r="C9" s="202">
        <f>'III. CF - Concessionaire'!B14</f>
        <v>2019</v>
      </c>
      <c r="D9" s="50">
        <f>'III. CF - Concessionaire'!C14</f>
        <v>91561147.373523101</v>
      </c>
      <c r="E9" s="51">
        <f>-'III. CF - Concessionaire'!D14</f>
        <v>-62582044.229803041</v>
      </c>
      <c r="F9" s="50">
        <f>-IFERROR(VLOOKUP(C9, 'VIII. Depreciation'!$C$11:$E$40, COLUMNS('VIII. Depreciation'!$C$11:$E$40), 0), 0)</f>
        <v>-3900000</v>
      </c>
      <c r="G9" s="50">
        <f>-'III. CF - Concessionaire'!E14</f>
        <v>-10000000</v>
      </c>
      <c r="H9" s="52">
        <f>-'III. CF - Concessionaire'!F14</f>
        <v>-5506029.5973068113</v>
      </c>
      <c r="I9" s="52">
        <f>-'III. CF - Concessionaire'!H14</f>
        <v>-7460445.9999999991</v>
      </c>
      <c r="J9" s="52">
        <f>-'III. CF - Concessionaire'!I14</f>
        <v>-1448955.1571860032</v>
      </c>
      <c r="K9" s="202">
        <f t="shared" si="1"/>
        <v>2019</v>
      </c>
      <c r="L9" s="52">
        <f t="shared" si="2"/>
        <v>663672.38922724803</v>
      </c>
      <c r="M9" s="51">
        <f t="shared" si="4"/>
        <v>0</v>
      </c>
      <c r="N9" s="51">
        <f t="shared" si="4"/>
        <v>0</v>
      </c>
      <c r="O9" s="51">
        <f>MAX(0,$L9*'I. Assumptions'!$E$11)</f>
        <v>0</v>
      </c>
      <c r="P9" s="51">
        <f>MAX(0,$L9*'I. Assumptions'!$E$12)</f>
        <v>232285.3362295368</v>
      </c>
      <c r="Q9" s="51">
        <f t="shared" si="5"/>
        <v>0</v>
      </c>
      <c r="R9" s="51">
        <f>(MIN($M$6:$N$56)+SUM(Q$5:Q9))*(L9&lt;0)</f>
        <v>0</v>
      </c>
      <c r="S9" s="53">
        <f t="shared" si="0"/>
        <v>232285.3362295368</v>
      </c>
    </row>
    <row r="10" spans="1:40" ht="18.899999999999999" customHeight="1">
      <c r="A10" s="114"/>
      <c r="B10" s="113"/>
      <c r="C10" s="202">
        <f>'III. CF - Concessionaire'!B15</f>
        <v>2020</v>
      </c>
      <c r="D10" s="50">
        <f>'III. CF - Concessionaire'!C15</f>
        <v>97133078.717492595</v>
      </c>
      <c r="E10" s="51">
        <f>-'III. CF - Concessionaire'!D15</f>
        <v>-66390459.303406186</v>
      </c>
      <c r="F10" s="50">
        <f>-IFERROR(VLOOKUP(C10, 'VIII. Depreciation'!$C$11:$E$40, COLUMNS('VIII. Depreciation'!$C$11:$E$40), 0), 0)</f>
        <v>-3832758.6206896547</v>
      </c>
      <c r="G10" s="50">
        <f>-'III. CF - Concessionaire'!E15</f>
        <v>-10000000</v>
      </c>
      <c r="H10" s="52">
        <f>-'III. CF - Concessionaire'!F15</f>
        <v>-5841097.6886764178</v>
      </c>
      <c r="I10" s="52">
        <f>-'III. CF - Concessionaire'!H15</f>
        <v>-7449728.2999999998</v>
      </c>
      <c r="J10" s="52">
        <f>-'III. CF - Concessionaire'!I15</f>
        <v>-1537130.9707043206</v>
      </c>
      <c r="K10" s="202">
        <f t="shared" si="1"/>
        <v>2020</v>
      </c>
      <c r="L10" s="52">
        <f t="shared" si="2"/>
        <v>2081903.8340160188</v>
      </c>
      <c r="M10" s="51">
        <f t="shared" si="4"/>
        <v>0</v>
      </c>
      <c r="N10" s="51">
        <f t="shared" si="4"/>
        <v>0</v>
      </c>
      <c r="O10" s="51">
        <f>MAX(0,$L10*'I. Assumptions'!$E$11)</f>
        <v>0</v>
      </c>
      <c r="P10" s="51">
        <f>MAX(0,$L10*'I. Assumptions'!$E$12)</f>
        <v>728666.34190560656</v>
      </c>
      <c r="Q10" s="51">
        <f t="shared" si="5"/>
        <v>0</v>
      </c>
      <c r="R10" s="51">
        <f>(MIN($M$6:$N$56)+SUM(Q$5:Q10))*(L10&lt;0)</f>
        <v>0</v>
      </c>
      <c r="S10" s="53">
        <f t="shared" si="0"/>
        <v>728666.34190560656</v>
      </c>
    </row>
    <row r="11" spans="1:40" ht="18.899999999999999" customHeight="1">
      <c r="A11" s="114"/>
      <c r="B11" s="113"/>
      <c r="C11" s="202">
        <f>'III. CF - Concessionaire'!B16</f>
        <v>2021</v>
      </c>
      <c r="D11" s="50">
        <f>'III. CF - Concessionaire'!C16</f>
        <v>103085662.123156</v>
      </c>
      <c r="E11" s="51">
        <f>-'III. CF - Concessionaire'!D16</f>
        <v>-70459050.06117712</v>
      </c>
      <c r="F11" s="50">
        <f>-IFERROR(VLOOKUP(C11, 'VIII. Depreciation'!$C$11:$E$40, COLUMNS('VIII. Depreciation'!$C$11:$E$40), 0), 0)</f>
        <v>-3764316.5024630539</v>
      </c>
      <c r="G11" s="50">
        <f>-'III. CF - Concessionaire'!E16</f>
        <v>-10000000</v>
      </c>
      <c r="H11" s="52">
        <f>-'III. CF - Concessionaire'!F16</f>
        <v>-6199056.2917759866</v>
      </c>
      <c r="I11" s="52">
        <f>-'III. CF - Concessionaire'!H16</f>
        <v>-7458494.0499999998</v>
      </c>
      <c r="J11" s="52">
        <f>-'III. CF - Concessionaire'!I16</f>
        <v>-1631330.6030989438</v>
      </c>
      <c r="K11" s="202">
        <f t="shared" si="1"/>
        <v>2021</v>
      </c>
      <c r="L11" s="52">
        <f t="shared" si="2"/>
        <v>3573414.6146408925</v>
      </c>
      <c r="M11" s="51">
        <f t="shared" si="4"/>
        <v>0</v>
      </c>
      <c r="N11" s="51">
        <f t="shared" si="4"/>
        <v>0</v>
      </c>
      <c r="O11" s="51">
        <f>MAX(0,$L11*'I. Assumptions'!$E$11)</f>
        <v>0</v>
      </c>
      <c r="P11" s="51">
        <f>MAX(0,$L11*'I. Assumptions'!$E$12)</f>
        <v>1250695.1151243122</v>
      </c>
      <c r="Q11" s="51">
        <f t="shared" si="5"/>
        <v>0</v>
      </c>
      <c r="R11" s="51">
        <f>(MIN($M$6:$N$56)+SUM(Q$5:Q11))*(L11&lt;0)</f>
        <v>0</v>
      </c>
      <c r="S11" s="53">
        <f t="shared" si="0"/>
        <v>1250695.1151243122</v>
      </c>
    </row>
    <row r="12" spans="1:40" ht="18.899999999999999" customHeight="1">
      <c r="A12" s="114"/>
      <c r="B12" s="113"/>
      <c r="C12" s="202">
        <f>'III. CF - Concessionaire'!B17</f>
        <v>2022</v>
      </c>
      <c r="D12" s="50">
        <f>'III. CF - Concessionaire'!C17</f>
        <v>109444902.21676201</v>
      </c>
      <c r="E12" s="51">
        <f>-'III. CF - Concessionaire'!D17</f>
        <v>-74805590.665156826</v>
      </c>
      <c r="F12" s="50">
        <f>-IFERROR(VLOOKUP(C12, 'VIII. Depreciation'!$C$11:$E$40, COLUMNS('VIII. Depreciation'!$C$11:$E$40), 0), 0)</f>
        <v>-3694606.9376026271</v>
      </c>
      <c r="G12" s="50">
        <f>-'III. CF - Concessionaire'!E17</f>
        <v>-10000000</v>
      </c>
      <c r="H12" s="52">
        <f>-'III. CF - Concessionaire'!F17</f>
        <v>-6581469.1948049841</v>
      </c>
      <c r="I12" s="52">
        <f>-'III. CF - Concessionaire'!H17</f>
        <v>-7459192.9999999991</v>
      </c>
      <c r="J12" s="52">
        <f>-'III. CF - Concessionaire'!I17</f>
        <v>-1731965.5775802592</v>
      </c>
      <c r="K12" s="202">
        <f t="shared" si="1"/>
        <v>2022</v>
      </c>
      <c r="L12" s="52">
        <f t="shared" si="2"/>
        <v>5172076.8416173086</v>
      </c>
      <c r="M12" s="51">
        <f t="shared" si="4"/>
        <v>0</v>
      </c>
      <c r="N12" s="51">
        <f t="shared" si="4"/>
        <v>0</v>
      </c>
      <c r="O12" s="51">
        <f>MAX(0,$L12*'I. Assumptions'!$E$11)</f>
        <v>0</v>
      </c>
      <c r="P12" s="51">
        <f>MAX(0,$L12*'I. Assumptions'!$E$12)</f>
        <v>1810226.8945660579</v>
      </c>
      <c r="Q12" s="51">
        <f t="shared" si="5"/>
        <v>0</v>
      </c>
      <c r="R12" s="51">
        <f>(MIN($M$6:$N$56)+SUM(Q$5:Q12))*(L12&lt;0)</f>
        <v>0</v>
      </c>
      <c r="S12" s="53">
        <f t="shared" si="0"/>
        <v>1810226.8945660579</v>
      </c>
    </row>
    <row r="13" spans="1:40" ht="18.899999999999999" customHeight="1">
      <c r="A13" s="114"/>
      <c r="B13" s="113"/>
      <c r="C13" s="202">
        <f>'III. CF - Concessionaire'!B18</f>
        <v>2023</v>
      </c>
      <c r="D13" s="50">
        <f>'III. CF - Concessionaire'!C18</f>
        <v>112238580.15660299</v>
      </c>
      <c r="E13" s="51">
        <f>-'III. CF - Concessionaire'!D18</f>
        <v>-76715069.537038147</v>
      </c>
      <c r="F13" s="50">
        <f>-IFERROR(VLOOKUP(C13, 'VIII. Depreciation'!$C$11:$E$40, COLUMNS('VIII. Depreciation'!$C$11:$E$40), 0), 0)</f>
        <v>-3623556.8041871921</v>
      </c>
      <c r="G13" s="50">
        <f>-'III. CF - Concessionaire'!E18</f>
        <v>-10000000</v>
      </c>
      <c r="H13" s="52">
        <f>-'III. CF - Concessionaire'!F18</f>
        <v>-6749467.0177173205</v>
      </c>
      <c r="I13" s="52">
        <f>-'III. CF - Concessionaire'!H18</f>
        <v>-10463413.1</v>
      </c>
      <c r="J13" s="52">
        <f>-'III. CF - Concessionaire'!I18</f>
        <v>-1776175.5309782424</v>
      </c>
      <c r="K13" s="202">
        <f t="shared" si="1"/>
        <v>2023</v>
      </c>
      <c r="L13" s="52">
        <f t="shared" si="2"/>
        <v>2910898.1666820901</v>
      </c>
      <c r="M13" s="51">
        <f t="shared" si="4"/>
        <v>0</v>
      </c>
      <c r="N13" s="51">
        <f t="shared" si="4"/>
        <v>0</v>
      </c>
      <c r="O13" s="51">
        <f>MAX(0,$L13*'I. Assumptions'!$E$11)</f>
        <v>0</v>
      </c>
      <c r="P13" s="51">
        <f>MAX(0,$L13*'I. Assumptions'!$E$12)</f>
        <v>1018814.3583387315</v>
      </c>
      <c r="Q13" s="51">
        <f t="shared" si="5"/>
        <v>0</v>
      </c>
      <c r="R13" s="51">
        <f>(MIN($M$6:$N$56)+SUM(Q$5:Q13))*(L13&lt;0)</f>
        <v>0</v>
      </c>
      <c r="S13" s="53">
        <f t="shared" si="0"/>
        <v>1018814.3583387315</v>
      </c>
    </row>
    <row r="14" spans="1:40" ht="18.899999999999999" customHeight="1">
      <c r="A14" s="114"/>
      <c r="B14" s="113"/>
      <c r="C14" s="202">
        <f>'III. CF - Concessionaire'!B19</f>
        <v>2024</v>
      </c>
      <c r="D14" s="50">
        <f>'III. CF - Concessionaire'!C19</f>
        <v>113496374.99858128</v>
      </c>
      <c r="E14" s="51">
        <f>-'III. CF - Concessionaire'!D19</f>
        <v>-77574772.311530307</v>
      </c>
      <c r="F14" s="50">
        <f>-IFERROR(VLOOKUP(C14, 'VIII. Depreciation'!$C$11:$E$40, COLUMNS('VIII. Depreciation'!$C$11:$E$40), 0), 0)</f>
        <v>-3551085.6681034481</v>
      </c>
      <c r="G14" s="50">
        <f>-'III. CF - Concessionaire'!E19</f>
        <v>-10000000</v>
      </c>
      <c r="H14" s="52">
        <f>-'III. CF - Concessionaire'!F19</f>
        <v>-6825104.5105396844</v>
      </c>
      <c r="I14" s="52">
        <f>-'III. CF - Concessionaire'!H19</f>
        <v>-10463228.824999999</v>
      </c>
      <c r="J14" s="52">
        <f>-'III. CF - Concessionaire'!I19</f>
        <v>-1796080.1343525485</v>
      </c>
      <c r="K14" s="202">
        <f t="shared" si="1"/>
        <v>2024</v>
      </c>
      <c r="L14" s="52">
        <f t="shared" si="2"/>
        <v>3286103.5490552871</v>
      </c>
      <c r="M14" s="51">
        <f t="shared" si="4"/>
        <v>0</v>
      </c>
      <c r="N14" s="51">
        <f t="shared" si="4"/>
        <v>0</v>
      </c>
      <c r="O14" s="51">
        <f>MAX(0,$L14*'I. Assumptions'!$E$11)</f>
        <v>0</v>
      </c>
      <c r="P14" s="51">
        <f>MAX(0,$L14*'I. Assumptions'!$E$12)</f>
        <v>1150136.2421693504</v>
      </c>
      <c r="Q14" s="51">
        <f t="shared" si="5"/>
        <v>0</v>
      </c>
      <c r="R14" s="51">
        <f>(MIN($M$6:$N$56)+SUM(Q$5:Q14))*(L14&lt;0)</f>
        <v>0</v>
      </c>
      <c r="S14" s="53">
        <f t="shared" si="0"/>
        <v>1150136.2421693504</v>
      </c>
    </row>
    <row r="15" spans="1:40" ht="18.899999999999999" customHeight="1">
      <c r="A15" s="114"/>
      <c r="B15" s="113"/>
      <c r="C15" s="202">
        <f>'III. CF - Concessionaire'!B20</f>
        <v>2025</v>
      </c>
      <c r="D15" s="50">
        <f>'III. CF - Concessionaire'!C20</f>
        <v>121249993.35298435</v>
      </c>
      <c r="E15" s="51">
        <f>-'III. CF - Concessionaire'!D20</f>
        <v>-82874370.456764802</v>
      </c>
      <c r="F15" s="50">
        <f>-IFERROR(VLOOKUP(C15, 'VIII. Depreciation'!$C$11:$E$40, COLUMNS('VIII. Depreciation'!$C$11:$E$40), 0), 0)</f>
        <v>-3477104.7166846255</v>
      </c>
      <c r="G15" s="50">
        <f>-'III. CF - Concessionaire'!E20</f>
        <v>-10000000</v>
      </c>
      <c r="H15" s="52">
        <f>-'III. CF - Concessionaire'!F20</f>
        <v>-7291368.3502817145</v>
      </c>
      <c r="I15" s="52">
        <f>-'III. CF - Concessionaire'!H20</f>
        <v>-10463530</v>
      </c>
      <c r="J15" s="52">
        <f>-'III. CF - Concessionaire'!I20</f>
        <v>-1918781.1448109776</v>
      </c>
      <c r="K15" s="202">
        <f t="shared" si="1"/>
        <v>2025</v>
      </c>
      <c r="L15" s="52">
        <f t="shared" si="2"/>
        <v>5224838.6844422342</v>
      </c>
      <c r="M15" s="51">
        <f t="shared" si="4"/>
        <v>0</v>
      </c>
      <c r="N15" s="51">
        <f t="shared" si="4"/>
        <v>0</v>
      </c>
      <c r="O15" s="51">
        <f>MAX(0,$L15*'I. Assumptions'!$E$11)</f>
        <v>0</v>
      </c>
      <c r="P15" s="51">
        <f>MAX(0,$L15*'I. Assumptions'!$E$12)</f>
        <v>1828693.539554782</v>
      </c>
      <c r="Q15" s="51">
        <f t="shared" si="5"/>
        <v>0</v>
      </c>
      <c r="R15" s="51">
        <f>(MIN($M$6:$N$56)+SUM(Q$5:Q15))*(L15&lt;0)</f>
        <v>0</v>
      </c>
      <c r="S15" s="53">
        <f t="shared" si="0"/>
        <v>1828693.539554782</v>
      </c>
    </row>
    <row r="16" spans="1:40" ht="18.899999999999999" customHeight="1">
      <c r="A16" s="114"/>
      <c r="B16" s="113"/>
      <c r="C16" s="202">
        <f>'III. CF - Concessionaire'!B21</f>
        <v>2026</v>
      </c>
      <c r="D16" s="50">
        <f>'III. CF - Concessionaire'!C21</f>
        <v>129533307.89888683</v>
      </c>
      <c r="E16" s="51">
        <f>-'III. CF - Concessionaire'!D21</f>
        <v>-88536015.948889151</v>
      </c>
      <c r="F16" s="50">
        <f>-IFERROR(VLOOKUP(C16, 'VIII. Depreciation'!$C$11:$E$40, COLUMNS('VIII. Depreciation'!$C$11:$E$40), 0), 0)</f>
        <v>-3401515.4837132208</v>
      </c>
      <c r="G16" s="50">
        <f>-'III. CF - Concessionaire'!E21</f>
        <v>-10000000</v>
      </c>
      <c r="H16" s="52">
        <f>-'III. CF - Concessionaire'!F21</f>
        <v>-7789485.4704995593</v>
      </c>
      <c r="I16" s="52">
        <f>-'III. CF - Concessionaire'!H21</f>
        <v>-10464791.574999999</v>
      </c>
      <c r="J16" s="52">
        <f>-'III. CF - Concessionaire'!I21</f>
        <v>-2049864.597499884</v>
      </c>
      <c r="K16" s="202">
        <f t="shared" si="1"/>
        <v>2026</v>
      </c>
      <c r="L16" s="52">
        <f t="shared" si="2"/>
        <v>7291634.8232850106</v>
      </c>
      <c r="M16" s="51">
        <f t="shared" si="4"/>
        <v>0</v>
      </c>
      <c r="N16" s="51">
        <f t="shared" si="4"/>
        <v>0</v>
      </c>
      <c r="O16" s="51">
        <f>MAX(0,$L16*'I. Assumptions'!$E$11)</f>
        <v>0</v>
      </c>
      <c r="P16" s="51">
        <f>MAX(0,$L16*'I. Assumptions'!$E$12)</f>
        <v>2552072.1881497535</v>
      </c>
      <c r="Q16" s="51">
        <f t="shared" si="5"/>
        <v>0</v>
      </c>
      <c r="R16" s="51">
        <f>(MIN($M$6:$N$56)+SUM(Q$5:Q16))*(L16&lt;0)</f>
        <v>0</v>
      </c>
      <c r="S16" s="53">
        <f t="shared" si="0"/>
        <v>2552072.1881497535</v>
      </c>
    </row>
    <row r="17" spans="1:40" ht="18.899999999999999" customHeight="1">
      <c r="A17" s="114"/>
      <c r="B17" s="113"/>
      <c r="C17" s="202">
        <f>'III. CF - Concessionaire'!B22</f>
        <v>2027</v>
      </c>
      <c r="D17" s="50">
        <f>'III. CF - Concessionaire'!C22</f>
        <v>138382505.36130717</v>
      </c>
      <c r="E17" s="51">
        <f>-'III. CF - Concessionaire'!D22</f>
        <v>-94584442.414453447</v>
      </c>
      <c r="F17" s="50">
        <f>-IFERROR(VLOOKUP(C17, 'VIII. Depreciation'!$C$11:$E$40, COLUMNS('VIII. Depreciation'!$C$11:$E$40), 0), 0)</f>
        <v>-3324208.31362883</v>
      </c>
      <c r="G17" s="50">
        <f>-'III. CF - Concessionaire'!E22</f>
        <v>-10000000</v>
      </c>
      <c r="H17" s="52">
        <f>-'III. CF - Concessionaire'!F22</f>
        <v>-8321631.9599022083</v>
      </c>
      <c r="I17" s="52">
        <f>-'III. CF - Concessionaire'!H22</f>
        <v>-10464632.5</v>
      </c>
      <c r="J17" s="52">
        <f>-'III. CF - Concessionaire'!I22</f>
        <v>-2189903.1473426865</v>
      </c>
      <c r="K17" s="202">
        <f t="shared" si="1"/>
        <v>2027</v>
      </c>
      <c r="L17" s="52">
        <f t="shared" si="2"/>
        <v>9497687.0259800032</v>
      </c>
      <c r="M17" s="51">
        <f t="shared" si="4"/>
        <v>0</v>
      </c>
      <c r="N17" s="51">
        <f t="shared" si="4"/>
        <v>0</v>
      </c>
      <c r="O17" s="51">
        <f>MAX(0,$L17*'I. Assumptions'!$E$11)</f>
        <v>0</v>
      </c>
      <c r="P17" s="51">
        <f>MAX(0,$L17*'I. Assumptions'!$E$12)</f>
        <v>3324190.4590930007</v>
      </c>
      <c r="Q17" s="51">
        <f t="shared" si="5"/>
        <v>0</v>
      </c>
      <c r="R17" s="51">
        <f>(MIN($M$6:$N$56)+SUM(Q$5:Q17))*(L17&lt;0)</f>
        <v>0</v>
      </c>
      <c r="S17" s="53">
        <f t="shared" si="0"/>
        <v>3324190.4590930007</v>
      </c>
    </row>
    <row r="18" spans="1:40" ht="18.899999999999999" customHeight="1">
      <c r="A18" s="114"/>
      <c r="B18" s="113"/>
      <c r="C18" s="202">
        <f>'III. CF - Concessionaire'!B23</f>
        <v>2028</v>
      </c>
      <c r="D18" s="50">
        <f>'III. CF - Concessionaire'!C23</f>
        <v>147836244.59757021</v>
      </c>
      <c r="E18" s="51">
        <f>-'III. CF - Concessionaire'!D23</f>
        <v>-101046073.18243924</v>
      </c>
      <c r="F18" s="50">
        <f>-IFERROR(VLOOKUP(C18, 'VIII. Depreciation'!$C$11:$E$40, COLUMNS('VIII. Depreciation'!$C$11:$E$40), 0), 0)</f>
        <v>-3245060.4966376671</v>
      </c>
      <c r="G18" s="50">
        <f>-'III. CF - Concessionaire'!E23</f>
        <v>-10000000</v>
      </c>
      <c r="H18" s="52">
        <f>-'III. CF - Concessionaire'!F23</f>
        <v>-8890132.5688748844</v>
      </c>
      <c r="I18" s="52">
        <f>-'III. CF - Concessionaire'!H23</f>
        <v>-10462532.5</v>
      </c>
      <c r="J18" s="52">
        <f>-'III. CF - Concessionaire'!I23</f>
        <v>-2339508.5707565485</v>
      </c>
      <c r="K18" s="202">
        <f t="shared" si="1"/>
        <v>2028</v>
      </c>
      <c r="L18" s="52">
        <f t="shared" si="2"/>
        <v>11852937.278861875</v>
      </c>
      <c r="M18" s="51">
        <f t="shared" si="4"/>
        <v>0</v>
      </c>
      <c r="N18" s="51">
        <f t="shared" si="4"/>
        <v>0</v>
      </c>
      <c r="O18" s="51">
        <f>MAX(0,$L18*'I. Assumptions'!$E$11)</f>
        <v>0</v>
      </c>
      <c r="P18" s="51">
        <f>MAX(0,$L18*'I. Assumptions'!$E$12)</f>
        <v>4148528.0476016561</v>
      </c>
      <c r="Q18" s="51">
        <f t="shared" si="5"/>
        <v>0</v>
      </c>
      <c r="R18" s="51">
        <f>(MIN($M$6:$N$56)+SUM(Q$5:Q18))*(L18&lt;0)</f>
        <v>0</v>
      </c>
      <c r="S18" s="53">
        <f t="shared" si="0"/>
        <v>4148528.0476016561</v>
      </c>
    </row>
    <row r="19" spans="1:40" ht="18.899999999999999" customHeight="1">
      <c r="A19" s="114"/>
      <c r="B19" s="113"/>
      <c r="C19" s="202">
        <f>'III. CF - Concessionaire'!B24</f>
        <v>2029</v>
      </c>
      <c r="D19" s="50">
        <f>'III. CF - Concessionaire'!C24</f>
        <v>157935825.4834978</v>
      </c>
      <c r="E19" s="51">
        <f>-'III. CF - Concessionaire'!D24</f>
        <v>-107949136.71797074</v>
      </c>
      <c r="F19" s="50">
        <f>-IFERROR(VLOOKUP(C19, 'VIII. Depreciation'!$C$11:$E$40, COLUMNS('VIII. Depreciation'!$C$11:$E$40), 0), 0)</f>
        <v>-3163933.9842217262</v>
      </c>
      <c r="G19" s="50">
        <f>-'III. CF - Concessionaire'!E24</f>
        <v>-10000000</v>
      </c>
      <c r="H19" s="52">
        <f>-'III. CF - Concessionaire'!F24</f>
        <v>-9497470.8654501401</v>
      </c>
      <c r="I19" s="52">
        <f>-'III. CF - Concessionaire'!H24</f>
        <v>-10461567.199999999</v>
      </c>
      <c r="J19" s="52">
        <f>-'III. CF - Concessionaire'!I24</f>
        <v>-2499334.4382763528</v>
      </c>
      <c r="K19" s="202">
        <f t="shared" si="1"/>
        <v>2029</v>
      </c>
      <c r="L19" s="52">
        <f t="shared" si="2"/>
        <v>14364382.277578836</v>
      </c>
      <c r="M19" s="51">
        <f t="shared" si="4"/>
        <v>0</v>
      </c>
      <c r="N19" s="51">
        <f t="shared" si="4"/>
        <v>0</v>
      </c>
      <c r="O19" s="51">
        <f>MAX(0,$L19*'I. Assumptions'!$E$11)</f>
        <v>0</v>
      </c>
      <c r="P19" s="51">
        <f>MAX(0,$L19*'I. Assumptions'!$E$12)</f>
        <v>5027533.7971525928</v>
      </c>
      <c r="Q19" s="51">
        <f t="shared" si="5"/>
        <v>0</v>
      </c>
      <c r="R19" s="51">
        <f>(MIN($M$6:$N$56)+SUM(Q$5:Q19))*(L19&lt;0)</f>
        <v>0</v>
      </c>
      <c r="S19" s="53">
        <f t="shared" si="0"/>
        <v>5027533.7971525928</v>
      </c>
    </row>
    <row r="20" spans="1:40" ht="18.899999999999999" customHeight="1">
      <c r="A20" s="114"/>
      <c r="B20" s="113"/>
      <c r="C20" s="202">
        <f>'III. CF - Concessionaire'!B25</f>
        <v>2030</v>
      </c>
      <c r="D20" s="50">
        <f>'III. CF - Concessionaire'!C25</f>
        <v>168725369.33722845</v>
      </c>
      <c r="E20" s="51">
        <f>-'III. CF - Concessionaire'!D25</f>
        <v>-115323789.94199564</v>
      </c>
      <c r="F20" s="50">
        <f>-IFERROR(VLOOKUP(C20, 'VIII. Depreciation'!$C$11:$E$40, COLUMNS('VIII. Depreciation'!$C$11:$E$40), 0), 0)</f>
        <v>-3080672.5635843119</v>
      </c>
      <c r="G20" s="50">
        <f>-'III. CF - Concessionaire'!E25</f>
        <v>-10000000</v>
      </c>
      <c r="H20" s="52">
        <f>-'III. CF - Concessionaire'!F25</f>
        <v>-10146300.085094234</v>
      </c>
      <c r="I20" s="52">
        <f>-'III. CF - Concessionaire'!H25</f>
        <v>-10464075.649999999</v>
      </c>
      <c r="J20" s="52">
        <f>-'III. CF - Concessionaire'!I25</f>
        <v>-2670078.9697616408</v>
      </c>
      <c r="K20" s="202">
        <f t="shared" si="1"/>
        <v>2030</v>
      </c>
      <c r="L20" s="52">
        <f t="shared" si="2"/>
        <v>17040452.126792625</v>
      </c>
      <c r="M20" s="51">
        <f t="shared" si="4"/>
        <v>0</v>
      </c>
      <c r="N20" s="51">
        <f t="shared" si="4"/>
        <v>0</v>
      </c>
      <c r="O20" s="51">
        <f>MAX(0,$L20*'I. Assumptions'!$E$11)</f>
        <v>0</v>
      </c>
      <c r="P20" s="51">
        <f>MAX(0,$L20*'I. Assumptions'!$E$12)</f>
        <v>5964158.2443774184</v>
      </c>
      <c r="Q20" s="51">
        <f t="shared" si="5"/>
        <v>0</v>
      </c>
      <c r="R20" s="51">
        <f>(MIN($M$6:$N$56)+SUM(Q$5:Q20))*(L20&lt;0)</f>
        <v>0</v>
      </c>
      <c r="S20" s="53">
        <f t="shared" si="0"/>
        <v>5964158.2443774184</v>
      </c>
    </row>
    <row r="21" spans="1:40" s="7" customFormat="1" ht="18.899999999999999" customHeight="1">
      <c r="A21" s="114"/>
      <c r="B21" s="113"/>
      <c r="C21" s="202">
        <f>'III. CF - Concessionaire'!B26</f>
        <v>2031</v>
      </c>
      <c r="D21" s="50">
        <f>'III. CF - Concessionaire'!C26</f>
        <v>180252011.66887054</v>
      </c>
      <c r="E21" s="51">
        <f>-'III. CF - Concessionaire'!D26</f>
        <v>-123202249.975673</v>
      </c>
      <c r="F21" s="50">
        <f>-IFERROR(VLOOKUP(C21, 'VIII. Depreciation'!$C$11:$E$40, COLUMNS('VIII. Depreciation'!$C$11:$E$40), 0), 0)</f>
        <v>-2995098.3257069699</v>
      </c>
      <c r="G21" s="50">
        <f>-'III. CF - Concessionaire'!E26</f>
        <v>-10000000</v>
      </c>
      <c r="H21" s="52">
        <f>-'III. CF - Concessionaire'!F26</f>
        <v>-10839454.721707532</v>
      </c>
      <c r="I21" s="52">
        <f>-'III. CF - Concessionaire'!H26</f>
        <v>-10462611.6</v>
      </c>
      <c r="J21" s="52">
        <f>-'III. CF - Concessionaire'!I26</f>
        <v>-2852488.0846598768</v>
      </c>
      <c r="K21" s="202">
        <f t="shared" si="1"/>
        <v>2031</v>
      </c>
      <c r="L21" s="52">
        <f t="shared" si="2"/>
        <v>19900108.96112315</v>
      </c>
      <c r="M21" s="51">
        <f t="shared" si="4"/>
        <v>0</v>
      </c>
      <c r="N21" s="51">
        <f t="shared" si="4"/>
        <v>0</v>
      </c>
      <c r="O21" s="51">
        <f>MAX(0,$L21*'I. Assumptions'!$E$11)</f>
        <v>0</v>
      </c>
      <c r="P21" s="51">
        <f>MAX(0,$L21*'I. Assumptions'!$E$12)</f>
        <v>6965038.1363931019</v>
      </c>
      <c r="Q21" s="51">
        <f t="shared" si="5"/>
        <v>0</v>
      </c>
      <c r="R21" s="51">
        <f>(MIN($M$6:$N$56)+SUM(Q$5:Q21))*(L21&lt;0)</f>
        <v>0</v>
      </c>
      <c r="S21" s="53">
        <f t="shared" si="0"/>
        <v>6965038.1363931019</v>
      </c>
      <c r="AN21" s="36"/>
    </row>
    <row r="22" spans="1:40" s="7" customFormat="1" ht="18.899999999999999" customHeight="1">
      <c r="A22" s="114"/>
      <c r="B22" s="113"/>
      <c r="C22" s="202">
        <f>'III. CF - Concessionaire'!B27</f>
        <v>2032</v>
      </c>
      <c r="D22" s="50">
        <f>'III. CF - Concessionaire'!C27</f>
        <v>192566108.09804106</v>
      </c>
      <c r="E22" s="51">
        <f>-'III. CF - Concessionaire'!D27</f>
        <v>-131618934.88501106</v>
      </c>
      <c r="F22" s="50">
        <f>-IFERROR(VLOOKUP(C22, 'VIII. Depreciation'!$C$11:$E$40, COLUMNS('VIII. Depreciation'!$C$11:$E$40), 0), 0)</f>
        <v>-2907007.1984802941</v>
      </c>
      <c r="G22" s="50">
        <f>-'III. CF - Concessionaire'!E27</f>
        <v>-10000000</v>
      </c>
      <c r="H22" s="52">
        <f>-'III. CF - Concessionaire'!F27</f>
        <v>-11579962.910475699</v>
      </c>
      <c r="I22" s="52">
        <f>-'III. CF - Concessionaire'!H27</f>
        <v>-10463989.899999999</v>
      </c>
      <c r="J22" s="52">
        <f>-'III. CF - Concessionaire'!I27</f>
        <v>-3047358.6606514999</v>
      </c>
      <c r="K22" s="202">
        <f t="shared" si="1"/>
        <v>2032</v>
      </c>
      <c r="L22" s="52">
        <f t="shared" si="2"/>
        <v>22948854.543422502</v>
      </c>
      <c r="M22" s="51">
        <f t="shared" si="4"/>
        <v>0</v>
      </c>
      <c r="N22" s="51">
        <f t="shared" si="4"/>
        <v>0</v>
      </c>
      <c r="O22" s="51">
        <f>MAX(0,$L22*'I. Assumptions'!$E$11)</f>
        <v>0</v>
      </c>
      <c r="P22" s="51">
        <f>MAX(0,$L22*'I. Assumptions'!$E$12)</f>
        <v>8032099.0901978752</v>
      </c>
      <c r="Q22" s="51">
        <f t="shared" si="5"/>
        <v>0</v>
      </c>
      <c r="R22" s="51">
        <f>(MIN($M$6:$N$56)+SUM(Q$5:Q22))*(L22&lt;0)</f>
        <v>0</v>
      </c>
      <c r="S22" s="53">
        <f t="shared" si="0"/>
        <v>8032099.0901978752</v>
      </c>
      <c r="AN22" s="36"/>
    </row>
    <row r="23" spans="1:40" s="7" customFormat="1" ht="18.899999999999999" customHeight="1">
      <c r="A23" s="114"/>
      <c r="B23" s="113"/>
      <c r="C23" s="202">
        <f>'III. CF - Concessionaire'!B28</f>
        <v>2033</v>
      </c>
      <c r="D23" s="50">
        <f>'III. CF - Concessionaire'!C28</f>
        <v>205721454.33886683</v>
      </c>
      <c r="E23" s="51">
        <f>-'III. CF - Concessionaire'!D28</f>
        <v>-140610614.04061547</v>
      </c>
      <c r="F23" s="50">
        <f>-IFERROR(VLOOKUP(C23, 'VIII. Depreciation'!$C$11:$E$40, COLUMNS('VIII. Depreciation'!$C$11:$E$40), 0), 0)</f>
        <v>-2816163.2235277854</v>
      </c>
      <c r="G23" s="50">
        <f>-'III. CF - Concessionaire'!E28</f>
        <v>-10000000</v>
      </c>
      <c r="H23" s="52">
        <f>-'III. CF - Concessionaire'!F28</f>
        <v>-12371059.656667758</v>
      </c>
      <c r="I23" s="52">
        <f>-'III. CF - Concessionaire'!H28</f>
        <v>-10463826.1</v>
      </c>
      <c r="J23" s="52">
        <f>-'III. CF - Concessionaire'!I28</f>
        <v>-3255542.014912568</v>
      </c>
      <c r="K23" s="202">
        <f t="shared" si="1"/>
        <v>2033</v>
      </c>
      <c r="L23" s="52">
        <f t="shared" si="2"/>
        <v>26204249.303143248</v>
      </c>
      <c r="M23" s="51">
        <f t="shared" si="4"/>
        <v>0</v>
      </c>
      <c r="N23" s="51">
        <f t="shared" si="4"/>
        <v>0</v>
      </c>
      <c r="O23" s="51">
        <f>MAX(0,$L23*'I. Assumptions'!$E$11)</f>
        <v>0</v>
      </c>
      <c r="P23" s="51">
        <f>MAX(0,$L23*'I. Assumptions'!$E$12)</f>
        <v>9171487.2561001368</v>
      </c>
      <c r="Q23" s="51">
        <f t="shared" si="5"/>
        <v>0</v>
      </c>
      <c r="R23" s="51">
        <f>(MIN($M$6:$N$56)+SUM(Q$5:Q23))*(L23&lt;0)</f>
        <v>0</v>
      </c>
      <c r="S23" s="53">
        <f t="shared" si="0"/>
        <v>9171487.2561001368</v>
      </c>
      <c r="AN23" s="36"/>
    </row>
    <row r="24" spans="1:40" s="7" customFormat="1" ht="18.899999999999999" customHeight="1">
      <c r="A24" s="114"/>
      <c r="B24" s="113"/>
      <c r="C24" s="202">
        <f>'III. CF - Concessionaire'!B29</f>
        <v>2034</v>
      </c>
      <c r="D24" s="50">
        <f>'III. CF - Concessionaire'!C29</f>
        <v>219775521.21348086</v>
      </c>
      <c r="E24" s="51">
        <f>-'III. CF - Concessionaire'!D29</f>
        <v>-150216568.74941418</v>
      </c>
      <c r="F24" s="50">
        <f>-IFERROR(VLOOKUP(C24, 'VIII. Depreciation'!$C$11:$E$40, COLUMNS('VIII. Depreciation'!$C$11:$E$40), 0), 0)</f>
        <v>-2722291.1160768592</v>
      </c>
      <c r="G24" s="50">
        <f>-'III. CF - Concessionaire'!E29</f>
        <v>-10000000</v>
      </c>
      <c r="H24" s="52">
        <f>-'III. CF - Concessionaire'!F29</f>
        <v>-13216200.968172669</v>
      </c>
      <c r="I24" s="52">
        <f>-'III. CF - Concessionaire'!H29</f>
        <v>-10464232.799999999</v>
      </c>
      <c r="J24" s="52">
        <f>-'III. CF - Concessionaire'!I29</f>
        <v>-3477947.6232033344</v>
      </c>
      <c r="K24" s="202">
        <f t="shared" si="1"/>
        <v>2034</v>
      </c>
      <c r="L24" s="52">
        <f t="shared" si="2"/>
        <v>29678279.956613827</v>
      </c>
      <c r="M24" s="51">
        <f t="shared" ref="M24:N39" si="6">IF($L24&lt;0,$L24+M23,0)</f>
        <v>0</v>
      </c>
      <c r="N24" s="51">
        <f t="shared" si="6"/>
        <v>0</v>
      </c>
      <c r="O24" s="51">
        <f>MAX(0,$L24*'I. Assumptions'!$E$11)</f>
        <v>0</v>
      </c>
      <c r="P24" s="51">
        <f>MAX(0,$L24*'I. Assumptions'!$E$12)</f>
        <v>10387397.984814839</v>
      </c>
      <c r="Q24" s="51">
        <f t="shared" si="5"/>
        <v>0</v>
      </c>
      <c r="R24" s="51">
        <f>(MIN($M$6:$N$56)+SUM(Q$5:Q24))*(L24&lt;0)</f>
        <v>0</v>
      </c>
      <c r="S24" s="53">
        <f t="shared" si="0"/>
        <v>10387397.984814839</v>
      </c>
      <c r="AN24" s="36"/>
    </row>
    <row r="25" spans="1:40" s="7" customFormat="1" ht="18.899999999999999" customHeight="1">
      <c r="A25" s="114"/>
      <c r="B25" s="113"/>
      <c r="C25" s="202">
        <f>'III. CF - Concessionaire'!B30</f>
        <v>2035</v>
      </c>
      <c r="D25" s="50">
        <f>'III. CF - Concessionaire'!C30</f>
        <v>234789705.72070101</v>
      </c>
      <c r="E25" s="51">
        <f>-'III. CF - Concessionaire'!D30</f>
        <v>-160478763.86009914</v>
      </c>
      <c r="F25" s="50">
        <f>-IFERROR(VLOOKUP(C25, 'VIII. Depreciation'!$C$11:$E$40, COLUMNS('VIII. Depreciation'!$C$11:$E$40), 0), 0)</f>
        <v>-2625066.4333598283</v>
      </c>
      <c r="G25" s="50">
        <f>-'III. CF - Concessionaire'!E30</f>
        <v>-10000000</v>
      </c>
      <c r="H25" s="52">
        <f>-'III. CF - Concessionaire'!F30</f>
        <v>-14119078.953514356</v>
      </c>
      <c r="I25" s="52">
        <f>-'III. CF - Concessionaire'!H30</f>
        <v>-10463948.25</v>
      </c>
      <c r="J25" s="52">
        <f>-'III. CF - Concessionaire'!I30</f>
        <v>-3715547.0930300937</v>
      </c>
      <c r="K25" s="202">
        <f t="shared" si="1"/>
        <v>2035</v>
      </c>
      <c r="L25" s="52">
        <f t="shared" si="2"/>
        <v>33387301.130697593</v>
      </c>
      <c r="M25" s="51">
        <f t="shared" si="6"/>
        <v>0</v>
      </c>
      <c r="N25" s="51">
        <f t="shared" si="6"/>
        <v>0</v>
      </c>
      <c r="O25" s="51">
        <f>MAX(0,$L25*'I. Assumptions'!$E$11)</f>
        <v>0</v>
      </c>
      <c r="P25" s="51">
        <f>MAX(0,$L25*'I. Assumptions'!$E$12)</f>
        <v>11685555.395744156</v>
      </c>
      <c r="Q25" s="51">
        <f t="shared" si="5"/>
        <v>0</v>
      </c>
      <c r="R25" s="51">
        <f>(MIN($M$6:$N$56)+SUM(Q$5:Q25))*(L25&lt;0)</f>
        <v>0</v>
      </c>
      <c r="S25" s="53">
        <f t="shared" si="0"/>
        <v>11685555.395744156</v>
      </c>
      <c r="AN25" s="36"/>
    </row>
    <row r="26" spans="1:40" s="7" customFormat="1" ht="18.899999999999999" customHeight="1">
      <c r="A26" s="114"/>
      <c r="B26" s="113"/>
      <c r="C26" s="202">
        <f>'III. CF - Concessionaire'!B31</f>
        <v>2036</v>
      </c>
      <c r="D26" s="50">
        <f>'III. CF - Concessionaire'!C31</f>
        <v>250829599.25671637</v>
      </c>
      <c r="E26" s="51">
        <f>-'III. CF - Concessionaire'!D31</f>
        <v>-171442031.09196565</v>
      </c>
      <c r="F26" s="50">
        <f>-IFERROR(VLOOKUP(C26, 'VIII. Depreciation'!$C$11:$E$40, COLUMNS('VIII. Depreciation'!$C$11:$E$40), 0), 0)</f>
        <v>-2524102.3397690654</v>
      </c>
      <c r="G26" s="50">
        <f>-'III. CF - Concessionaire'!E31</f>
        <v>-10000000</v>
      </c>
      <c r="H26" s="52">
        <f>-'III. CF - Concessionaire'!F31</f>
        <v>-15083637.951302638</v>
      </c>
      <c r="I26" s="52">
        <f>-'III. CF - Concessionaire'!H31</f>
        <v>-10462230.449999999</v>
      </c>
      <c r="J26" s="52">
        <f>-'III. CF - Concessionaire'!I31</f>
        <v>-3969378.4082375364</v>
      </c>
      <c r="K26" s="202">
        <f t="shared" si="1"/>
        <v>2036</v>
      </c>
      <c r="L26" s="52">
        <f t="shared" si="2"/>
        <v>37348219.015441485</v>
      </c>
      <c r="M26" s="51">
        <f t="shared" si="6"/>
        <v>0</v>
      </c>
      <c r="N26" s="51">
        <f t="shared" si="6"/>
        <v>0</v>
      </c>
      <c r="O26" s="51">
        <f>MAX(0,$L26*'I. Assumptions'!$E$11)</f>
        <v>0</v>
      </c>
      <c r="P26" s="51">
        <f>MAX(0,$L26*'I. Assumptions'!$E$12)</f>
        <v>13071876.655404519</v>
      </c>
      <c r="Q26" s="51">
        <f t="shared" si="5"/>
        <v>0</v>
      </c>
      <c r="R26" s="51">
        <f>(MIN($M$6:$N$56)+SUM(Q$5:Q26))*(L26&lt;0)</f>
        <v>0</v>
      </c>
      <c r="S26" s="53">
        <f t="shared" si="0"/>
        <v>13071876.655404519</v>
      </c>
      <c r="AN26" s="36"/>
    </row>
    <row r="27" spans="1:40" s="7" customFormat="1" ht="18.899999999999999" customHeight="1">
      <c r="A27" s="114"/>
      <c r="B27" s="113"/>
      <c r="C27" s="202">
        <f>'III. CF - Concessionaire'!B32</f>
        <v>2037</v>
      </c>
      <c r="D27" s="50">
        <f>'III. CF - Concessionaire'!C32</f>
        <v>267965274.15953821</v>
      </c>
      <c r="E27" s="51">
        <f>-'III. CF - Concessionaire'!D32</f>
        <v>-183154264.88804436</v>
      </c>
      <c r="F27" s="50">
        <f>-IFERROR(VLOOKUP(C27, 'VIII. Depreciation'!$C$11:$E$40, COLUMNS('VIII. Depreciation'!$C$11:$E$40), 0), 0)</f>
        <v>-2418931.4089453546</v>
      </c>
      <c r="G27" s="50">
        <f>-'III. CF - Concessionaire'!E32</f>
        <v>-10000000</v>
      </c>
      <c r="H27" s="52">
        <f>-'III. CF - Concessionaire'!F32</f>
        <v>-16114091.761583833</v>
      </c>
      <c r="I27" s="52">
        <f>-'III. CF - Concessionaire'!H32</f>
        <v>-10461801.524999999</v>
      </c>
      <c r="J27" s="52">
        <f>-'III. CF - Concessionaire'!I32</f>
        <v>-4240550.4635746926</v>
      </c>
      <c r="K27" s="202">
        <f t="shared" si="1"/>
        <v>2037</v>
      </c>
      <c r="L27" s="52">
        <f t="shared" si="2"/>
        <v>41575634.112389974</v>
      </c>
      <c r="M27" s="51">
        <f t="shared" si="6"/>
        <v>0</v>
      </c>
      <c r="N27" s="51">
        <f t="shared" si="6"/>
        <v>0</v>
      </c>
      <c r="O27" s="51">
        <f>MAX(0,$L27*'I. Assumptions'!$E$11)</f>
        <v>0</v>
      </c>
      <c r="P27" s="51">
        <f>MAX(0,$L27*'I. Assumptions'!$E$12)</f>
        <v>14551471.93933649</v>
      </c>
      <c r="Q27" s="51">
        <f t="shared" si="5"/>
        <v>0</v>
      </c>
      <c r="R27" s="51">
        <f>(MIN($M$6:$N$56)+SUM(Q$5:Q27))*(L27&lt;0)</f>
        <v>0</v>
      </c>
      <c r="S27" s="53">
        <f t="shared" si="0"/>
        <v>14551471.93933649</v>
      </c>
      <c r="AN27" s="36"/>
    </row>
    <row r="28" spans="1:40" s="7" customFormat="1" ht="18.899999999999999" customHeight="1">
      <c r="A28" s="114"/>
      <c r="B28" s="113"/>
      <c r="C28" s="202">
        <f>'III. CF - Concessionaire'!B33</f>
        <v>2038</v>
      </c>
      <c r="D28" s="50">
        <f>'III. CF - Concessionaire'!C33</f>
        <v>286271589.82902122</v>
      </c>
      <c r="E28" s="51">
        <f>-'III. CF - Concessionaire'!D33</f>
        <v>-195666631.64813599</v>
      </c>
      <c r="F28" s="50">
        <f>-IFERROR(VLOOKUP(C28, 'VIII. Depreciation'!$C$11:$E$40, COLUMNS('VIII. Depreciation'!$C$11:$E$40), 0), 0)</f>
        <v>-2308979.9812660203</v>
      </c>
      <c r="G28" s="50">
        <f>-'III. CF - Concessionaire'!E33</f>
        <v>-10000000</v>
      </c>
      <c r="H28" s="52">
        <f>-'III. CF - Concessionaire'!F33</f>
        <v>-17214942.054368194</v>
      </c>
      <c r="I28" s="52">
        <f>-'III. CF - Concessionaire'!H33</f>
        <v>-10464611.149999999</v>
      </c>
      <c r="J28" s="52">
        <f>-'III. CF - Concessionaire'!I33</f>
        <v>-4530247.9090442611</v>
      </c>
      <c r="K28" s="202">
        <f t="shared" si="1"/>
        <v>2038</v>
      </c>
      <c r="L28" s="52">
        <f t="shared" si="2"/>
        <v>46086177.086206749</v>
      </c>
      <c r="M28" s="51">
        <f t="shared" si="6"/>
        <v>0</v>
      </c>
      <c r="N28" s="51">
        <f t="shared" si="6"/>
        <v>0</v>
      </c>
      <c r="O28" s="51">
        <f>MAX(0,$L28*'I. Assumptions'!$E$11)</f>
        <v>0</v>
      </c>
      <c r="P28" s="51">
        <f>MAX(0,$L28*'I. Assumptions'!$E$12)</f>
        <v>16130161.98017236</v>
      </c>
      <c r="Q28" s="51">
        <f t="shared" si="5"/>
        <v>0</v>
      </c>
      <c r="R28" s="51">
        <f>(MIN($M$6:$N$56)+SUM(Q$5:Q28))*(L28&lt;0)</f>
        <v>0</v>
      </c>
      <c r="S28" s="53">
        <f t="shared" si="0"/>
        <v>16130161.98017236</v>
      </c>
      <c r="AN28" s="36"/>
    </row>
    <row r="29" spans="1:40" s="7" customFormat="1" ht="18.899999999999999" customHeight="1">
      <c r="A29" s="114"/>
      <c r="B29" s="113"/>
      <c r="C29" s="202">
        <f>'III. CF - Concessionaire'!B34</f>
        <v>2039</v>
      </c>
      <c r="D29" s="50">
        <f>'III. CF - Concessionaire'!C34</f>
        <v>305828519.75978059</v>
      </c>
      <c r="E29" s="51">
        <f>-'III. CF - Concessionaire'!D34</f>
        <v>-209033793.25581002</v>
      </c>
      <c r="F29" s="50">
        <f>-IFERROR(VLOOKUP(C29, 'VIII. Depreciation'!$C$11:$E$40, COLUMNS('VIII. Depreciation'!$C$11:$E$40), 0), 0)</f>
        <v>-2193530.9822027194</v>
      </c>
      <c r="G29" s="50">
        <f>-'III. CF - Concessionaire'!E34</f>
        <v>-10000000</v>
      </c>
      <c r="H29" s="52">
        <f>-'III. CF - Concessionaire'!F34</f>
        <v>-18390998.035754409</v>
      </c>
      <c r="I29" s="52">
        <f>-'III. CF - Concessionaire'!H34</f>
        <v>-10462210.149999999</v>
      </c>
      <c r="J29" s="52">
        <f>-'III. CF - Concessionaire'!I34</f>
        <v>-4839736.3251985284</v>
      </c>
      <c r="K29" s="202">
        <f t="shared" si="1"/>
        <v>2039</v>
      </c>
      <c r="L29" s="52">
        <f t="shared" si="2"/>
        <v>50908251.010814898</v>
      </c>
      <c r="M29" s="51">
        <f t="shared" si="6"/>
        <v>0</v>
      </c>
      <c r="N29" s="51">
        <f t="shared" si="6"/>
        <v>0</v>
      </c>
      <c r="O29" s="51">
        <f>MAX(0,$L29*'I. Assumptions'!$E$11)</f>
        <v>0</v>
      </c>
      <c r="P29" s="51">
        <f>MAX(0,$L29*'I. Assumptions'!$E$12)</f>
        <v>17817887.853785213</v>
      </c>
      <c r="Q29" s="51">
        <f t="shared" si="5"/>
        <v>0</v>
      </c>
      <c r="R29" s="51">
        <f>(MIN($M$6:$N$56)+SUM(Q$5:Q29))*(L29&lt;0)</f>
        <v>0</v>
      </c>
      <c r="S29" s="53">
        <f t="shared" si="0"/>
        <v>17817887.853785213</v>
      </c>
      <c r="AN29" s="36"/>
    </row>
    <row r="30" spans="1:40" s="7" customFormat="1" ht="18.899999999999999" customHeight="1">
      <c r="A30" s="114"/>
      <c r="B30" s="113"/>
      <c r="C30" s="202">
        <f>'III. CF - Concessionaire'!B35</f>
        <v>2040</v>
      </c>
      <c r="D30" s="50">
        <f>'III. CF - Concessionaire'!C35</f>
        <v>326721500.91568971</v>
      </c>
      <c r="E30" s="51">
        <f>-'III. CF - Concessionaire'!D35</f>
        <v>-223314145.87587392</v>
      </c>
      <c r="F30" s="50">
        <f>-IFERROR(VLOOKUP(C30, 'VIII. Depreciation'!$C$11:$E$40, COLUMNS('VIII. Depreciation'!$C$11:$E$40), 0), 0)</f>
        <v>-2071668.1498581236</v>
      </c>
      <c r="G30" s="50">
        <f>-'III. CF - Concessionaire'!E35</f>
        <v>-10000000</v>
      </c>
      <c r="H30" s="52">
        <f>-'III. CF - Concessionaire'!F35</f>
        <v>-19647397.457564998</v>
      </c>
      <c r="I30" s="52">
        <f>-'III. CF - Concessionaire'!H35</f>
        <v>-10463848.149999999</v>
      </c>
      <c r="J30" s="52">
        <f>-'III. CF - Concessionaire'!I35</f>
        <v>-5170367.7519907895</v>
      </c>
      <c r="K30" s="202">
        <f t="shared" si="1"/>
        <v>2040</v>
      </c>
      <c r="L30" s="52">
        <f t="shared" si="2"/>
        <v>56054073.530401886</v>
      </c>
      <c r="M30" s="51">
        <f t="shared" si="6"/>
        <v>0</v>
      </c>
      <c r="N30" s="51">
        <f t="shared" si="6"/>
        <v>0</v>
      </c>
      <c r="O30" s="51">
        <f>MAX(0,$L30*'I. Assumptions'!$E$11)</f>
        <v>0</v>
      </c>
      <c r="P30" s="51">
        <f>MAX(0,$L30*'I. Assumptions'!$E$12)</f>
        <v>19618925.73564066</v>
      </c>
      <c r="Q30" s="51">
        <f t="shared" si="5"/>
        <v>0</v>
      </c>
      <c r="R30" s="51">
        <f>(MIN($M$6:$N$56)+SUM(Q$5:Q30))*(L30&lt;0)</f>
        <v>0</v>
      </c>
      <c r="S30" s="53">
        <f t="shared" si="0"/>
        <v>19618925.73564066</v>
      </c>
      <c r="AN30" s="36"/>
    </row>
    <row r="31" spans="1:40" s="7" customFormat="1" ht="18.899999999999999" customHeight="1">
      <c r="A31" s="114"/>
      <c r="B31" s="113"/>
      <c r="C31" s="202">
        <f>'III. CF - Concessionaire'!B36</f>
        <v>2041</v>
      </c>
      <c r="D31" s="50">
        <f>'III. CF - Concessionaire'!C36</f>
        <v>336523145.94316047</v>
      </c>
      <c r="E31" s="51">
        <f>-'III. CF - Concessionaire'!D36</f>
        <v>-230013570.25215018</v>
      </c>
      <c r="F31" s="50">
        <f>-IFERROR(VLOOKUP(C31, 'VIII. Depreciation'!$C$11:$E$40, COLUMNS('VIII. Depreciation'!$C$11:$E$40), 0), 0)</f>
        <v>-1942188.8904919911</v>
      </c>
      <c r="G31" s="50">
        <f>-'III. CF - Concessionaire'!E36</f>
        <v>-10000000</v>
      </c>
      <c r="H31" s="52">
        <f>-'III. CF - Concessionaire'!F36</f>
        <v>-20236819.381291956</v>
      </c>
      <c r="I31" s="52">
        <f>-'III. CF - Concessionaire'!H36</f>
        <v>-10461994.549999999</v>
      </c>
      <c r="J31" s="52">
        <f>-'III. CF - Concessionaire'!I36</f>
        <v>-5325478.784550515</v>
      </c>
      <c r="K31" s="202">
        <f t="shared" si="1"/>
        <v>2041</v>
      </c>
      <c r="L31" s="52">
        <f t="shared" si="2"/>
        <v>58543094.084675834</v>
      </c>
      <c r="M31" s="51">
        <f t="shared" si="6"/>
        <v>0</v>
      </c>
      <c r="N31" s="51">
        <f t="shared" si="6"/>
        <v>0</v>
      </c>
      <c r="O31" s="51">
        <f>MAX(0,$L31*'I. Assumptions'!$E$11)</f>
        <v>0</v>
      </c>
      <c r="P31" s="51">
        <f>MAX(0,$L31*'I. Assumptions'!$E$12)</f>
        <v>20490082.929636542</v>
      </c>
      <c r="Q31" s="51">
        <f t="shared" si="5"/>
        <v>0</v>
      </c>
      <c r="R31" s="51">
        <f>(MIN($M$6:$N$56)+SUM(Q$5:Q31))*(L31&lt;0)</f>
        <v>0</v>
      </c>
      <c r="S31" s="53">
        <f t="shared" si="0"/>
        <v>20490082.929636542</v>
      </c>
      <c r="AN31" s="36"/>
    </row>
    <row r="32" spans="1:40" s="7" customFormat="1" ht="18.899999999999999" customHeight="1">
      <c r="A32" s="114"/>
      <c r="B32" s="113"/>
      <c r="C32" s="202">
        <f>'III. CF - Concessionaire'!B37</f>
        <v>2042</v>
      </c>
      <c r="D32" s="50">
        <f>'III. CF - Concessionaire'!C37</f>
        <v>346618840.3214553</v>
      </c>
      <c r="E32" s="51">
        <f>-'III. CF - Concessionaire'!D37</f>
        <v>-236913977.35971469</v>
      </c>
      <c r="F32" s="50">
        <f>-IFERROR(VLOOKUP(C32, 'VIII. Depreciation'!$C$11:$E$40, COLUMNS('VIII. Depreciation'!$C$11:$E$40), 0), 0)</f>
        <v>-1803461.112599706</v>
      </c>
      <c r="G32" s="50">
        <f>-'III. CF - Concessionaire'!E37</f>
        <v>-10000000</v>
      </c>
      <c r="H32" s="52">
        <f>-'III. CF - Concessionaire'!F37</f>
        <v>-20843923.962730717</v>
      </c>
      <c r="I32" s="52">
        <f>-'III. CF - Concessionaire'!H37</f>
        <v>-10462815.475</v>
      </c>
      <c r="J32" s="52">
        <f>-'III. CF - Concessionaire'!I37</f>
        <v>-5485243.1480870312</v>
      </c>
      <c r="K32" s="202">
        <f t="shared" si="1"/>
        <v>2042</v>
      </c>
      <c r="L32" s="52">
        <f t="shared" si="2"/>
        <v>61109419.263323158</v>
      </c>
      <c r="M32" s="51">
        <f t="shared" si="6"/>
        <v>0</v>
      </c>
      <c r="N32" s="51">
        <f t="shared" si="6"/>
        <v>0</v>
      </c>
      <c r="O32" s="51">
        <f>MAX(0,$L32*'I. Assumptions'!$E$11)</f>
        <v>0</v>
      </c>
      <c r="P32" s="51">
        <f>MAX(0,$L32*'I. Assumptions'!$E$12)</f>
        <v>21388296.742163103</v>
      </c>
      <c r="Q32" s="51">
        <f t="shared" si="5"/>
        <v>0</v>
      </c>
      <c r="R32" s="51">
        <f>(MIN($M$6:$N$56)+SUM(Q$5:Q32))*(L32&lt;0)</f>
        <v>0</v>
      </c>
      <c r="S32" s="53">
        <f t="shared" si="0"/>
        <v>21388296.742163103</v>
      </c>
      <c r="AN32" s="36"/>
    </row>
    <row r="33" spans="1:40" s="7" customFormat="1" ht="18.899999999999999" customHeight="1">
      <c r="A33" s="114"/>
      <c r="B33" s="113"/>
      <c r="C33" s="202">
        <f>'III. CF - Concessionaire'!B38</f>
        <v>2043</v>
      </c>
      <c r="D33" s="50">
        <f>'III. CF - Concessionaire'!C38</f>
        <v>357017405.53109896</v>
      </c>
      <c r="E33" s="51">
        <f>-'III. CF - Concessionaire'!D38</f>
        <v>-244021396.68050614</v>
      </c>
      <c r="F33" s="50">
        <f>-IFERROR(VLOOKUP(C33, 'VIII. Depreciation'!$C$11:$E$40, COLUMNS('VIII. Depreciation'!$C$11:$E$40), 0), 0)</f>
        <v>-1653172.6865497306</v>
      </c>
      <c r="G33" s="50">
        <f>-'III. CF - Concessionaire'!E38</f>
        <v>-10000000</v>
      </c>
      <c r="H33" s="52">
        <f>-'III. CF - Concessionaire'!F38</f>
        <v>-21469241.681612637</v>
      </c>
      <c r="I33" s="52">
        <f>-'III. CF - Concessionaire'!H38</f>
        <v>-10464626.199999999</v>
      </c>
      <c r="J33" s="52">
        <f>-'III. CF - Concessionaire'!I38</f>
        <v>-5649800.4425296411</v>
      </c>
      <c r="K33" s="202">
        <f t="shared" si="1"/>
        <v>2043</v>
      </c>
      <c r="L33" s="52">
        <f t="shared" si="2"/>
        <v>63759167.839900814</v>
      </c>
      <c r="M33" s="51">
        <f t="shared" si="6"/>
        <v>0</v>
      </c>
      <c r="N33" s="51">
        <f t="shared" si="6"/>
        <v>0</v>
      </c>
      <c r="O33" s="51">
        <f>MAX(0,$L33*'I. Assumptions'!$E$11)</f>
        <v>0</v>
      </c>
      <c r="P33" s="51">
        <f>MAX(0,$L33*'I. Assumptions'!$E$12)</f>
        <v>22315708.743965283</v>
      </c>
      <c r="Q33" s="51">
        <f t="shared" si="5"/>
        <v>0</v>
      </c>
      <c r="R33" s="51">
        <f>(MIN($M$6:$N$56)+SUM(Q$5:Q33))*(L33&lt;0)</f>
        <v>0</v>
      </c>
      <c r="S33" s="53">
        <f t="shared" si="0"/>
        <v>22315708.743965283</v>
      </c>
      <c r="AN33" s="36"/>
    </row>
    <row r="34" spans="1:40" s="7" customFormat="1" ht="18.899999999999999" customHeight="1">
      <c r="A34" s="114"/>
      <c r="B34" s="113"/>
      <c r="C34" s="202">
        <f>'III. CF - Concessionaire'!B39</f>
        <v>2044</v>
      </c>
      <c r="D34" s="50">
        <f>'III. CF - Concessionaire'!C39</f>
        <v>367727927.69703192</v>
      </c>
      <c r="E34" s="51">
        <f>-'III. CF - Concessionaire'!D39</f>
        <v>-251342038.58092132</v>
      </c>
      <c r="F34" s="50">
        <f>-IFERROR(VLOOKUP(C34, 'VIII. Depreciation'!$C$11:$E$40, COLUMNS('VIII. Depreciation'!$C$11:$E$40), 0), 0)</f>
        <v>-1487855.4178947574</v>
      </c>
      <c r="G34" s="50">
        <f>-'III. CF - Concessionaire'!E39</f>
        <v>-10000000</v>
      </c>
      <c r="H34" s="52">
        <f>-'III. CF - Concessionaire'!F39</f>
        <v>-22113318.932061013</v>
      </c>
      <c r="I34" s="52">
        <f>-'III. CF - Concessionaire'!H39</f>
        <v>-10462736.899999999</v>
      </c>
      <c r="J34" s="52">
        <f>-'III. CF - Concessionaire'!I39</f>
        <v>-5819294.4558055298</v>
      </c>
      <c r="K34" s="202">
        <f t="shared" si="1"/>
        <v>2044</v>
      </c>
      <c r="L34" s="52">
        <f t="shared" si="2"/>
        <v>66502683.410349287</v>
      </c>
      <c r="M34" s="51">
        <f t="shared" si="6"/>
        <v>0</v>
      </c>
      <c r="N34" s="51">
        <f t="shared" si="6"/>
        <v>0</v>
      </c>
      <c r="O34" s="51">
        <f>MAX(0,$L34*'I. Assumptions'!$E$11)</f>
        <v>0</v>
      </c>
      <c r="P34" s="51">
        <f>MAX(0,$L34*'I. Assumptions'!$E$12)</f>
        <v>23275939.19362225</v>
      </c>
      <c r="Q34" s="51">
        <f t="shared" si="5"/>
        <v>0</v>
      </c>
      <c r="R34" s="51">
        <f>(MIN($M$6:$N$56)+SUM(Q$5:Q34))*(L34&lt;0)</f>
        <v>0</v>
      </c>
      <c r="S34" s="53">
        <f t="shared" si="0"/>
        <v>23275939.19362225</v>
      </c>
      <c r="AN34" s="36"/>
    </row>
    <row r="35" spans="1:40" s="7" customFormat="1" ht="18.899999999999999" customHeight="1">
      <c r="A35" s="114"/>
      <c r="B35" s="113"/>
      <c r="C35" s="202">
        <f>'III. CF - Concessionaire'!B40</f>
        <v>2045</v>
      </c>
      <c r="D35" s="50">
        <f>'III. CF - Concessionaire'!C40</f>
        <v>367727927.69703192</v>
      </c>
      <c r="E35" s="51">
        <f>-'III. CF - Concessionaire'!D40</f>
        <v>-251342038.58092132</v>
      </c>
      <c r="F35" s="50">
        <f>-IFERROR(VLOOKUP(C35, 'VIII. Depreciation'!$C$11:$E$40, COLUMNS('VIII. Depreciation'!$C$11:$E$40), 0), 0)</f>
        <v>-1301873.490657913</v>
      </c>
      <c r="G35" s="50">
        <f>-'III. CF - Concessionaire'!E40</f>
        <v>-10000000</v>
      </c>
      <c r="H35" s="52">
        <f>-'III. CF - Concessionaire'!F40</f>
        <v>-22113318.932061013</v>
      </c>
      <c r="I35" s="52">
        <f>-'III. CF - Concessionaire'!H40</f>
        <v>-10462467.049999999</v>
      </c>
      <c r="J35" s="52">
        <f>-'III. CF - Concessionaire'!I40</f>
        <v>-5819294.4558055298</v>
      </c>
      <c r="K35" s="202">
        <f t="shared" si="1"/>
        <v>2045</v>
      </c>
      <c r="L35" s="52">
        <f t="shared" si="2"/>
        <v>66688935.187586136</v>
      </c>
      <c r="M35" s="51">
        <f t="shared" si="6"/>
        <v>0</v>
      </c>
      <c r="N35" s="51">
        <f t="shared" si="6"/>
        <v>0</v>
      </c>
      <c r="O35" s="51">
        <f>MAX(0,$L35*'I. Assumptions'!$E$11)</f>
        <v>0</v>
      </c>
      <c r="P35" s="51">
        <f>MAX(0,$L35*'I. Assumptions'!$E$12)</f>
        <v>23341127.315655146</v>
      </c>
      <c r="Q35" s="51">
        <f t="shared" si="5"/>
        <v>0</v>
      </c>
      <c r="R35" s="51">
        <f>(MIN($M$6:$N$56)+SUM(Q$5:Q35))*(L35&lt;0)</f>
        <v>0</v>
      </c>
      <c r="S35" s="53">
        <f t="shared" si="0"/>
        <v>23341127.315655146</v>
      </c>
      <c r="AN35" s="36"/>
    </row>
    <row r="36" spans="1:40" s="7" customFormat="1" ht="18.899999999999999" customHeight="1">
      <c r="A36" s="114"/>
      <c r="B36" s="113"/>
      <c r="C36" s="202">
        <f>'III. CF - Concessionaire'!B41</f>
        <v>2046</v>
      </c>
      <c r="D36" s="50">
        <f>'III. CF - Concessionaire'!C41</f>
        <v>367727927.69703192</v>
      </c>
      <c r="E36" s="51">
        <f>-'III. CF - Concessionaire'!D41</f>
        <v>-251342038.58092132</v>
      </c>
      <c r="F36" s="50">
        <f>-IFERROR(VLOOKUP(C36, 'VIII. Depreciation'!$C$11:$E$40, COLUMNS('VIII. Depreciation'!$C$11:$E$40), 0), 0)</f>
        <v>-1084894.5755482607</v>
      </c>
      <c r="G36" s="50">
        <f>-'III. CF - Concessionaire'!E41</f>
        <v>-10000000</v>
      </c>
      <c r="H36" s="52">
        <f>-'III. CF - Concessionaire'!F41</f>
        <v>-22113318.932061013</v>
      </c>
      <c r="I36" s="52">
        <f>-'III. CF - Concessionaire'!H41</f>
        <v>-10462438.35</v>
      </c>
      <c r="J36" s="52">
        <f>-'III. CF - Concessionaire'!I41</f>
        <v>-5819294.4558055298</v>
      </c>
      <c r="K36" s="202">
        <f t="shared" si="1"/>
        <v>2046</v>
      </c>
      <c r="L36" s="52">
        <f t="shared" si="2"/>
        <v>66905942.802695788</v>
      </c>
      <c r="M36" s="51">
        <f t="shared" si="6"/>
        <v>0</v>
      </c>
      <c r="N36" s="51">
        <f t="shared" si="6"/>
        <v>0</v>
      </c>
      <c r="O36" s="51">
        <f>MAX(0,$L36*'I. Assumptions'!$E$11)</f>
        <v>0</v>
      </c>
      <c r="P36" s="51">
        <f>MAX(0,$L36*'I. Assumptions'!$E$12)</f>
        <v>23417079.980943523</v>
      </c>
      <c r="Q36" s="51">
        <f t="shared" si="5"/>
        <v>0</v>
      </c>
      <c r="R36" s="51">
        <f>(MIN($M$6:$N$56)+SUM(Q$5:Q36))*(L36&lt;0)</f>
        <v>0</v>
      </c>
      <c r="S36" s="53">
        <f t="shared" si="0"/>
        <v>23417079.980943523</v>
      </c>
      <c r="AN36" s="36"/>
    </row>
    <row r="37" spans="1:40" s="7" customFormat="1" ht="18.899999999999999" customHeight="1">
      <c r="A37" s="36"/>
      <c r="B37" s="113"/>
      <c r="C37" s="202">
        <f>'III. CF - Concessionaire'!B42</f>
        <v>2047</v>
      </c>
      <c r="D37" s="50">
        <f>'III. CF - Concessionaire'!C42</f>
        <v>367727927.69703192</v>
      </c>
      <c r="E37" s="51">
        <f>-'III. CF - Concessionaire'!D42</f>
        <v>-251342038.58092132</v>
      </c>
      <c r="F37" s="50">
        <f>-IFERROR(VLOOKUP(C37, 'VIII. Depreciation'!$C$11:$E$40, COLUMNS('VIII. Depreciation'!$C$11:$E$40), 0), 0)</f>
        <v>-813670.93166119559</v>
      </c>
      <c r="G37" s="50">
        <f>-'III. CF - Concessionaire'!E42</f>
        <v>-10000000</v>
      </c>
      <c r="H37" s="52">
        <f>-'III. CF - Concessionaire'!F42</f>
        <v>-22113318.932061013</v>
      </c>
      <c r="I37" s="52">
        <f>-'III. CF - Concessionaire'!H42</f>
        <v>0</v>
      </c>
      <c r="J37" s="52">
        <f>-'III. CF - Concessionaire'!I42</f>
        <v>-5819294.4558055298</v>
      </c>
      <c r="K37" s="202">
        <f t="shared" si="1"/>
        <v>2047</v>
      </c>
      <c r="L37" s="52">
        <f t="shared" si="2"/>
        <v>77639604.796582863</v>
      </c>
      <c r="M37" s="51">
        <f t="shared" si="6"/>
        <v>0</v>
      </c>
      <c r="N37" s="51">
        <f t="shared" si="6"/>
        <v>0</v>
      </c>
      <c r="O37" s="51">
        <f>MAX(0,$L37*'I. Assumptions'!$E$11)</f>
        <v>0</v>
      </c>
      <c r="P37" s="51">
        <f>MAX(0,$L37*'I. Assumptions'!$E$12)</f>
        <v>27173861.678803999</v>
      </c>
      <c r="Q37" s="51">
        <f t="shared" si="5"/>
        <v>0</v>
      </c>
      <c r="R37" s="51">
        <f>(MIN($M$6:$N$56)+SUM(Q$5:Q37))*(L37&lt;0)</f>
        <v>0</v>
      </c>
      <c r="S37" s="53">
        <f t="shared" si="0"/>
        <v>27173861.678803999</v>
      </c>
      <c r="AN37" s="36"/>
    </row>
    <row r="38" spans="1:40" s="7" customFormat="1" ht="18.75" customHeight="1">
      <c r="A38" s="36"/>
      <c r="B38" s="113"/>
      <c r="C38" s="202">
        <f>'III. CF - Concessionaire'!B43</f>
        <v>2048</v>
      </c>
      <c r="D38" s="50">
        <f>'III. CF - Concessionaire'!C43</f>
        <v>367727927.69703192</v>
      </c>
      <c r="E38" s="51">
        <f>-'III. CF - Concessionaire'!D43</f>
        <v>-251342038.58092132</v>
      </c>
      <c r="F38" s="50">
        <f>-IFERROR(VLOOKUP(C38, 'VIII. Depreciation'!$C$11:$E$40, COLUMNS('VIII. Depreciation'!$C$11:$E$40), 0), 0)</f>
        <v>-271223.64388706512</v>
      </c>
      <c r="G38" s="50">
        <f>-'III. CF - Concessionaire'!E43</f>
        <v>-10000000</v>
      </c>
      <c r="H38" s="52">
        <f>-'III. CF - Concessionaire'!F43</f>
        <v>-22113318.932061013</v>
      </c>
      <c r="I38" s="52">
        <f>-'III. CF - Concessionaire'!H43</f>
        <v>0</v>
      </c>
      <c r="J38" s="52">
        <f>-'III. CF - Concessionaire'!I43</f>
        <v>-5819294.4558055298</v>
      </c>
      <c r="K38" s="202">
        <f t="shared" si="1"/>
        <v>2048</v>
      </c>
      <c r="L38" s="52">
        <f t="shared" si="2"/>
        <v>78182052.084356993</v>
      </c>
      <c r="M38" s="51">
        <f t="shared" si="6"/>
        <v>0</v>
      </c>
      <c r="N38" s="51">
        <f t="shared" si="6"/>
        <v>0</v>
      </c>
      <c r="O38" s="51">
        <f>MAX(0,$L38*'I. Assumptions'!$E$11)</f>
        <v>0</v>
      </c>
      <c r="P38" s="51">
        <f>MAX(0,$L38*'I. Assumptions'!$E$12)</f>
        <v>27363718.229524948</v>
      </c>
      <c r="Q38" s="51">
        <f t="shared" si="5"/>
        <v>0</v>
      </c>
      <c r="R38" s="51">
        <f>(MIN($M$6:$N$56)+SUM(Q$5:Q38))*(L38&lt;0)</f>
        <v>0</v>
      </c>
      <c r="S38" s="53">
        <f t="shared" si="0"/>
        <v>27363718.229524948</v>
      </c>
      <c r="AN38" s="36"/>
    </row>
    <row r="39" spans="1:40" s="7" customFormat="1" ht="18.899999999999999" customHeight="1">
      <c r="A39" s="36"/>
      <c r="B39" s="113"/>
      <c r="C39" s="202">
        <f>'III. CF - Concessionaire'!B44</f>
        <v>2049</v>
      </c>
      <c r="D39" s="50">
        <f>'III. CF - Concessionaire'!C44</f>
        <v>367727927.69703192</v>
      </c>
      <c r="E39" s="51">
        <f>-'III. CF - Concessionaire'!D44</f>
        <v>-251342038.58092132</v>
      </c>
      <c r="F39" s="50">
        <f>-IFERROR(VLOOKUP(C39, 'VIII. Depreciation'!$C$11:$E$40, COLUMNS('VIII. Depreciation'!$C$11:$E$40), 0), 0)</f>
        <v>0</v>
      </c>
      <c r="G39" s="50">
        <f>-'III. CF - Concessionaire'!E44</f>
        <v>-10000000</v>
      </c>
      <c r="H39" s="52">
        <f>-'III. CF - Concessionaire'!F44</f>
        <v>-22113318.932061013</v>
      </c>
      <c r="I39" s="52">
        <f>-'III. CF - Concessionaire'!H44</f>
        <v>0</v>
      </c>
      <c r="J39" s="52">
        <f>-'III. CF - Concessionaire'!I44</f>
        <v>-5819294.4558055298</v>
      </c>
      <c r="K39" s="202">
        <f t="shared" si="1"/>
        <v>2049</v>
      </c>
      <c r="L39" s="52">
        <f t="shared" si="2"/>
        <v>78453275.728244051</v>
      </c>
      <c r="M39" s="51">
        <f t="shared" si="6"/>
        <v>0</v>
      </c>
      <c r="N39" s="51">
        <f t="shared" si="6"/>
        <v>0</v>
      </c>
      <c r="O39" s="51">
        <f>MAX(0,$L39*'I. Assumptions'!$E$11)</f>
        <v>0</v>
      </c>
      <c r="P39" s="51">
        <f>MAX(0,$L39*'I. Assumptions'!$E$12)</f>
        <v>27458646.504885416</v>
      </c>
      <c r="Q39" s="51">
        <f t="shared" si="5"/>
        <v>0</v>
      </c>
      <c r="R39" s="51">
        <f>(MIN($M$6:$N$56)+SUM(Q$5:Q39))*(L39&lt;0)</f>
        <v>0</v>
      </c>
      <c r="S39" s="53">
        <f t="shared" si="0"/>
        <v>27458646.504885416</v>
      </c>
      <c r="AN39" s="36"/>
    </row>
    <row r="40" spans="1:40" s="7" customFormat="1" ht="18.899999999999999" customHeight="1">
      <c r="A40" s="36"/>
      <c r="B40" s="113"/>
      <c r="C40" s="202">
        <f>'III. CF - Concessionaire'!B45</f>
        <v>2050</v>
      </c>
      <c r="D40" s="50">
        <f>'III. CF - Concessionaire'!C45</f>
        <v>367727927.69703192</v>
      </c>
      <c r="E40" s="51">
        <f>-'III. CF - Concessionaire'!D45</f>
        <v>-251342038.58092132</v>
      </c>
      <c r="F40" s="50">
        <f>-IFERROR(VLOOKUP(C40, 'VIII. Depreciation'!$C$11:$E$40, COLUMNS('VIII. Depreciation'!$C$11:$E$40), 0), 0)</f>
        <v>0</v>
      </c>
      <c r="G40" s="50">
        <f>-'III. CF - Concessionaire'!E45</f>
        <v>-10000000</v>
      </c>
      <c r="H40" s="52">
        <f>-'III. CF - Concessionaire'!F45</f>
        <v>-22113318.932061013</v>
      </c>
      <c r="I40" s="52">
        <f>-'III. CF - Concessionaire'!H45</f>
        <v>0</v>
      </c>
      <c r="J40" s="52">
        <f>-'III. CF - Concessionaire'!I45</f>
        <v>-5819294.4558055298</v>
      </c>
      <c r="K40" s="202">
        <f t="shared" si="1"/>
        <v>2050</v>
      </c>
      <c r="L40" s="52">
        <f t="shared" si="2"/>
        <v>78453275.728244051</v>
      </c>
      <c r="M40" s="51">
        <f t="shared" ref="M40:N53" si="7">IF($L40&lt;0,$L40+M39,0)</f>
        <v>0</v>
      </c>
      <c r="N40" s="51">
        <f t="shared" si="7"/>
        <v>0</v>
      </c>
      <c r="O40" s="51">
        <f>MAX(0,$L40*'I. Assumptions'!$E$11)</f>
        <v>0</v>
      </c>
      <c r="P40" s="51">
        <f>MAX(0,$L40*'I. Assumptions'!$E$12)</f>
        <v>27458646.504885416</v>
      </c>
      <c r="Q40" s="51">
        <f t="shared" si="5"/>
        <v>0</v>
      </c>
      <c r="R40" s="51">
        <f>(MIN($M$6:$N$56)+SUM(Q$5:Q40))*(L40&lt;0)</f>
        <v>0</v>
      </c>
      <c r="S40" s="53">
        <f t="shared" si="0"/>
        <v>27458646.504885416</v>
      </c>
      <c r="AN40" s="36"/>
    </row>
    <row r="41" spans="1:40" s="7" customFormat="1" ht="18.899999999999999" customHeight="1">
      <c r="A41" s="36"/>
      <c r="B41" s="113"/>
      <c r="C41" s="202">
        <f>'III. CF - Concessionaire'!B46</f>
        <v>2051</v>
      </c>
      <c r="D41" s="50">
        <f>'III. CF - Concessionaire'!C46</f>
        <v>367727927.69703192</v>
      </c>
      <c r="E41" s="51">
        <f>-'III. CF - Concessionaire'!D46</f>
        <v>-251342038.58092132</v>
      </c>
      <c r="F41" s="50">
        <f>-IFERROR(VLOOKUP(C41, 'VIII. Depreciation'!$C$11:$E$40, COLUMNS('VIII. Depreciation'!$C$11:$E$40), 0), 0)</f>
        <v>0</v>
      </c>
      <c r="G41" s="50">
        <f>-'III. CF - Concessionaire'!E46</f>
        <v>-10000000</v>
      </c>
      <c r="H41" s="52">
        <f>-'III. CF - Concessionaire'!F46</f>
        <v>-22113318.932061013</v>
      </c>
      <c r="I41" s="52">
        <f>-'III. CF - Concessionaire'!H46</f>
        <v>0</v>
      </c>
      <c r="J41" s="52">
        <f>-'III. CF - Concessionaire'!I46</f>
        <v>-5819294.4558055298</v>
      </c>
      <c r="K41" s="202">
        <f t="shared" si="1"/>
        <v>2051</v>
      </c>
      <c r="L41" s="52">
        <f t="shared" si="2"/>
        <v>78453275.728244051</v>
      </c>
      <c r="M41" s="51">
        <f t="shared" si="7"/>
        <v>0</v>
      </c>
      <c r="N41" s="51">
        <f t="shared" si="7"/>
        <v>0</v>
      </c>
      <c r="O41" s="51">
        <f>MAX(0,$L41*'I. Assumptions'!$E$11)</f>
        <v>0</v>
      </c>
      <c r="P41" s="51">
        <f>MAX(0,$L41*'I. Assumptions'!$E$12)</f>
        <v>27458646.504885416</v>
      </c>
      <c r="Q41" s="51">
        <f t="shared" si="5"/>
        <v>0</v>
      </c>
      <c r="R41" s="51">
        <f>(MIN($M$6:$N$56)+SUM(Q$5:Q41))*(L41&lt;0)</f>
        <v>0</v>
      </c>
      <c r="S41" s="53">
        <f t="shared" si="0"/>
        <v>27458646.504885416</v>
      </c>
      <c r="AN41" s="36"/>
    </row>
    <row r="42" spans="1:40" s="7" customFormat="1" ht="18.899999999999999" customHeight="1">
      <c r="A42" s="36"/>
      <c r="B42" s="113"/>
      <c r="C42" s="202">
        <f>'III. CF - Concessionaire'!B47</f>
        <v>2052</v>
      </c>
      <c r="D42" s="50">
        <f>'III. CF - Concessionaire'!C47</f>
        <v>367727927.69703192</v>
      </c>
      <c r="E42" s="51">
        <f>-'III. CF - Concessionaire'!D47</f>
        <v>-251342038.58092132</v>
      </c>
      <c r="F42" s="50">
        <f>-IFERROR(VLOOKUP(C42, 'VIII. Depreciation'!$C$11:$E$40, COLUMNS('VIII. Depreciation'!$C$11:$E$40), 0), 0)</f>
        <v>0</v>
      </c>
      <c r="G42" s="50">
        <f>-'III. CF - Concessionaire'!E47</f>
        <v>-10000000</v>
      </c>
      <c r="H42" s="52">
        <f>-'III. CF - Concessionaire'!F47</f>
        <v>-22113318.932061013</v>
      </c>
      <c r="I42" s="52">
        <f>-'III. CF - Concessionaire'!H47</f>
        <v>0</v>
      </c>
      <c r="J42" s="52">
        <f>-'III. CF - Concessionaire'!I47</f>
        <v>-5819294.4558055298</v>
      </c>
      <c r="K42" s="202">
        <f t="shared" si="1"/>
        <v>2052</v>
      </c>
      <c r="L42" s="52">
        <f t="shared" si="2"/>
        <v>78453275.728244051</v>
      </c>
      <c r="M42" s="51">
        <f t="shared" si="7"/>
        <v>0</v>
      </c>
      <c r="N42" s="51">
        <f t="shared" si="7"/>
        <v>0</v>
      </c>
      <c r="O42" s="51">
        <f>MAX(0,$L42*'I. Assumptions'!$E$11)</f>
        <v>0</v>
      </c>
      <c r="P42" s="51">
        <f>MAX(0,$L42*'I. Assumptions'!$E$12)</f>
        <v>27458646.504885416</v>
      </c>
      <c r="Q42" s="51">
        <f t="shared" si="5"/>
        <v>0</v>
      </c>
      <c r="R42" s="51">
        <f>(MIN($M$6:$N$56)+SUM(Q$5:Q42))*(L42&lt;0)</f>
        <v>0</v>
      </c>
      <c r="S42" s="53">
        <f t="shared" si="0"/>
        <v>27458646.504885416</v>
      </c>
      <c r="AN42" s="36"/>
    </row>
    <row r="43" spans="1:40" s="7" customFormat="1" ht="18.899999999999999" customHeight="1">
      <c r="A43" s="36"/>
      <c r="B43" s="113"/>
      <c r="C43" s="202">
        <f>'III. CF - Concessionaire'!B48</f>
        <v>2053</v>
      </c>
      <c r="D43" s="50">
        <f>'III. CF - Concessionaire'!C48</f>
        <v>367727927.69703192</v>
      </c>
      <c r="E43" s="51">
        <f>-'III. CF - Concessionaire'!D48</f>
        <v>-251342038.58092132</v>
      </c>
      <c r="F43" s="50">
        <f>-IFERROR(VLOOKUP(C43, 'VIII. Depreciation'!$C$11:$E$40, COLUMNS('VIII. Depreciation'!$C$11:$E$40), 0), 0)</f>
        <v>0</v>
      </c>
      <c r="G43" s="50">
        <f>-'III. CF - Concessionaire'!E48</f>
        <v>-10000000</v>
      </c>
      <c r="H43" s="52">
        <f>-'III. CF - Concessionaire'!F48</f>
        <v>-22113318.932061013</v>
      </c>
      <c r="I43" s="52">
        <f>-'III. CF - Concessionaire'!H48</f>
        <v>0</v>
      </c>
      <c r="J43" s="52">
        <f>-'III. CF - Concessionaire'!I48</f>
        <v>-5819294.4558055298</v>
      </c>
      <c r="K43" s="202">
        <f t="shared" si="1"/>
        <v>2053</v>
      </c>
      <c r="L43" s="52">
        <f t="shared" si="2"/>
        <v>78453275.728244051</v>
      </c>
      <c r="M43" s="51">
        <f t="shared" si="7"/>
        <v>0</v>
      </c>
      <c r="N43" s="51">
        <f t="shared" si="7"/>
        <v>0</v>
      </c>
      <c r="O43" s="51">
        <f>MAX(0,$L43*'I. Assumptions'!$E$11)</f>
        <v>0</v>
      </c>
      <c r="P43" s="51">
        <f>MAX(0,$L43*'I. Assumptions'!$E$12)</f>
        <v>27458646.504885416</v>
      </c>
      <c r="Q43" s="51">
        <f t="shared" si="5"/>
        <v>0</v>
      </c>
      <c r="R43" s="51">
        <f>(MIN($M$6:$N$56)+SUM(Q$5:Q43))*(L43&lt;0)</f>
        <v>0</v>
      </c>
      <c r="S43" s="53">
        <f t="shared" si="0"/>
        <v>27458646.504885416</v>
      </c>
      <c r="AN43" s="36"/>
    </row>
    <row r="44" spans="1:40" s="7" customFormat="1" ht="18.899999999999999" customHeight="1">
      <c r="A44" s="36"/>
      <c r="B44" s="113"/>
      <c r="C44" s="202">
        <f>'III. CF - Concessionaire'!B49</f>
        <v>2054</v>
      </c>
      <c r="D44" s="50">
        <f>'III. CF - Concessionaire'!C49</f>
        <v>367727927.69703192</v>
      </c>
      <c r="E44" s="51">
        <f>-'III. CF - Concessionaire'!D49</f>
        <v>-251342038.58092132</v>
      </c>
      <c r="F44" s="50">
        <f>-IFERROR(VLOOKUP(C44, 'VIII. Depreciation'!$C$11:$E$40, COLUMNS('VIII. Depreciation'!$C$11:$E$40), 0), 0)</f>
        <v>0</v>
      </c>
      <c r="G44" s="50">
        <f>-'III. CF - Concessionaire'!E49</f>
        <v>-10000000</v>
      </c>
      <c r="H44" s="52">
        <f>-'III. CF - Concessionaire'!F49</f>
        <v>-22113318.932061013</v>
      </c>
      <c r="I44" s="52">
        <f>-'III. CF - Concessionaire'!H49</f>
        <v>0</v>
      </c>
      <c r="J44" s="52">
        <f>-'III. CF - Concessionaire'!I49</f>
        <v>-5819294.4558055298</v>
      </c>
      <c r="K44" s="202">
        <f t="shared" si="1"/>
        <v>2054</v>
      </c>
      <c r="L44" s="52">
        <f t="shared" si="2"/>
        <v>78453275.728244051</v>
      </c>
      <c r="M44" s="51">
        <f t="shared" si="7"/>
        <v>0</v>
      </c>
      <c r="N44" s="51">
        <f t="shared" si="7"/>
        <v>0</v>
      </c>
      <c r="O44" s="51">
        <f>MAX(0,$L44*'I. Assumptions'!$E$11)</f>
        <v>0</v>
      </c>
      <c r="P44" s="51">
        <f>MAX(0,$L44*'I. Assumptions'!$E$12)</f>
        <v>27458646.504885416</v>
      </c>
      <c r="Q44" s="51">
        <f t="shared" si="5"/>
        <v>0</v>
      </c>
      <c r="R44" s="51">
        <f>(MIN($M$6:$N$56)+SUM(Q$5:Q44))*(L44&lt;0)</f>
        <v>0</v>
      </c>
      <c r="S44" s="53">
        <f t="shared" si="0"/>
        <v>27458646.504885416</v>
      </c>
      <c r="AN44" s="36"/>
    </row>
    <row r="45" spans="1:40" s="7" customFormat="1" ht="18.899999999999999" customHeight="1">
      <c r="A45" s="36"/>
      <c r="B45" s="113"/>
      <c r="C45" s="202">
        <f>'III. CF - Concessionaire'!B50</f>
        <v>2055</v>
      </c>
      <c r="D45" s="50">
        <f>'III. CF - Concessionaire'!C50</f>
        <v>367727927.69703192</v>
      </c>
      <c r="E45" s="51">
        <f>-'III. CF - Concessionaire'!D50</f>
        <v>-251342038.58092132</v>
      </c>
      <c r="F45" s="50">
        <f>-IFERROR(VLOOKUP(C45, 'VIII. Depreciation'!$C$11:$E$40, COLUMNS('VIII. Depreciation'!$C$11:$E$40), 0), 0)</f>
        <v>0</v>
      </c>
      <c r="G45" s="50">
        <f>-'III. CF - Concessionaire'!E50</f>
        <v>-10000000</v>
      </c>
      <c r="H45" s="52">
        <f>-'III. CF - Concessionaire'!F50</f>
        <v>-22113318.932061013</v>
      </c>
      <c r="I45" s="52">
        <f>-'III. CF - Concessionaire'!H50</f>
        <v>0</v>
      </c>
      <c r="J45" s="52">
        <f>-'III. CF - Concessionaire'!I50</f>
        <v>-5819294.4558055298</v>
      </c>
      <c r="K45" s="202">
        <f t="shared" si="1"/>
        <v>2055</v>
      </c>
      <c r="L45" s="52">
        <f t="shared" si="2"/>
        <v>78453275.728244051</v>
      </c>
      <c r="M45" s="51">
        <f t="shared" si="7"/>
        <v>0</v>
      </c>
      <c r="N45" s="51">
        <f t="shared" si="7"/>
        <v>0</v>
      </c>
      <c r="O45" s="51">
        <f>MAX(0,$L45*'I. Assumptions'!$E$11)</f>
        <v>0</v>
      </c>
      <c r="P45" s="51">
        <f>MAX(0,$L45*'I. Assumptions'!$E$12)</f>
        <v>27458646.504885416</v>
      </c>
      <c r="Q45" s="51">
        <f t="shared" si="5"/>
        <v>0</v>
      </c>
      <c r="R45" s="51">
        <f>(MIN($M$6:$N$56)+SUM(Q$5:Q45))*(L45&lt;0)</f>
        <v>0</v>
      </c>
      <c r="S45" s="53">
        <f t="shared" si="0"/>
        <v>27458646.504885416</v>
      </c>
      <c r="AN45" s="36"/>
    </row>
    <row r="46" spans="1:40" s="7" customFormat="1" ht="18.899999999999999" customHeight="1">
      <c r="A46" s="36"/>
      <c r="B46" s="113"/>
      <c r="C46" s="202">
        <f>'III. CF - Concessionaire'!B51</f>
        <v>2056</v>
      </c>
      <c r="D46" s="50">
        <f>'III. CF - Concessionaire'!C51</f>
        <v>367727927.69703192</v>
      </c>
      <c r="E46" s="51">
        <f>-'III. CF - Concessionaire'!D51</f>
        <v>-251342038.58092132</v>
      </c>
      <c r="F46" s="50">
        <f>-IFERROR(VLOOKUP(C46, 'VIII. Depreciation'!$C$11:$E$40, COLUMNS('VIII. Depreciation'!$C$11:$E$40), 0), 0)</f>
        <v>0</v>
      </c>
      <c r="G46" s="50">
        <f>-'III. CF - Concessionaire'!E51</f>
        <v>-10000000</v>
      </c>
      <c r="H46" s="52">
        <f>-'III. CF - Concessionaire'!F51</f>
        <v>-22113318.932061013</v>
      </c>
      <c r="I46" s="52">
        <f>-'III. CF - Concessionaire'!H51</f>
        <v>0</v>
      </c>
      <c r="J46" s="52">
        <f>-'III. CF - Concessionaire'!I51</f>
        <v>-5819294.4558055298</v>
      </c>
      <c r="K46" s="202">
        <f t="shared" si="1"/>
        <v>2056</v>
      </c>
      <c r="L46" s="52">
        <f t="shared" si="2"/>
        <v>78453275.728244051</v>
      </c>
      <c r="M46" s="51">
        <f t="shared" si="7"/>
        <v>0</v>
      </c>
      <c r="N46" s="51">
        <f t="shared" si="7"/>
        <v>0</v>
      </c>
      <c r="O46" s="51">
        <f>MAX(0,$L46*'I. Assumptions'!$E$11)</f>
        <v>0</v>
      </c>
      <c r="P46" s="51">
        <f>MAX(0,$L46*'I. Assumptions'!$E$12)</f>
        <v>27458646.504885416</v>
      </c>
      <c r="Q46" s="51">
        <f t="shared" si="5"/>
        <v>0</v>
      </c>
      <c r="R46" s="51">
        <f>(MIN($M$6:$N$56)+SUM(Q$5:Q46))*(L46&lt;0)</f>
        <v>0</v>
      </c>
      <c r="S46" s="53">
        <f t="shared" si="0"/>
        <v>27458646.504885416</v>
      </c>
      <c r="AN46" s="36"/>
    </row>
    <row r="47" spans="1:40" s="7" customFormat="1" ht="18.899999999999999" customHeight="1">
      <c r="A47" s="36"/>
      <c r="B47" s="113"/>
      <c r="C47" s="202">
        <f>'III. CF - Concessionaire'!B52</f>
        <v>2057</v>
      </c>
      <c r="D47" s="50">
        <f>'III. CF - Concessionaire'!C52</f>
        <v>367727927.69703192</v>
      </c>
      <c r="E47" s="51">
        <f>-'III. CF - Concessionaire'!D52</f>
        <v>-251342038.58092132</v>
      </c>
      <c r="F47" s="50">
        <f>-IFERROR(VLOOKUP(C47, 'VIII. Depreciation'!$C$11:$E$40, COLUMNS('VIII. Depreciation'!$C$11:$E$40), 0), 0)</f>
        <v>0</v>
      </c>
      <c r="G47" s="50">
        <f>-'III. CF - Concessionaire'!E52</f>
        <v>-10000000</v>
      </c>
      <c r="H47" s="52">
        <f>-'III. CF - Concessionaire'!F52</f>
        <v>-22113318.932061013</v>
      </c>
      <c r="I47" s="52">
        <f>-'III. CF - Concessionaire'!H52</f>
        <v>0</v>
      </c>
      <c r="J47" s="52">
        <f>-'III. CF - Concessionaire'!I52</f>
        <v>-5819294.4558055298</v>
      </c>
      <c r="K47" s="202">
        <f t="shared" si="1"/>
        <v>2057</v>
      </c>
      <c r="L47" s="52">
        <f t="shared" si="2"/>
        <v>78453275.728244051</v>
      </c>
      <c r="M47" s="51">
        <f t="shared" si="7"/>
        <v>0</v>
      </c>
      <c r="N47" s="51">
        <f t="shared" si="7"/>
        <v>0</v>
      </c>
      <c r="O47" s="51">
        <f>MAX(0,$L47*'I. Assumptions'!$E$11)</f>
        <v>0</v>
      </c>
      <c r="P47" s="51">
        <f>MAX(0,$L47*'I. Assumptions'!$E$12)</f>
        <v>27458646.504885416</v>
      </c>
      <c r="Q47" s="51">
        <f t="shared" si="5"/>
        <v>0</v>
      </c>
      <c r="R47" s="51">
        <f>(MIN($M$6:$N$56)+SUM(Q$5:Q47))*(L47&lt;0)</f>
        <v>0</v>
      </c>
      <c r="S47" s="53">
        <f t="shared" si="0"/>
        <v>27458646.504885416</v>
      </c>
      <c r="AN47" s="36"/>
    </row>
    <row r="48" spans="1:40" s="7" customFormat="1" ht="18.899999999999999" customHeight="1">
      <c r="A48" s="36"/>
      <c r="B48" s="113"/>
      <c r="C48" s="202">
        <f>'III. CF - Concessionaire'!B53</f>
        <v>2058</v>
      </c>
      <c r="D48" s="50">
        <f>'III. CF - Concessionaire'!C53</f>
        <v>367727927.69703192</v>
      </c>
      <c r="E48" s="51">
        <f>-'III. CF - Concessionaire'!D53</f>
        <v>-251342038.58092132</v>
      </c>
      <c r="F48" s="50">
        <f>-IFERROR(VLOOKUP(C48, 'VIII. Depreciation'!$C$11:$E$40, COLUMNS('VIII. Depreciation'!$C$11:$E$40), 0), 0)</f>
        <v>0</v>
      </c>
      <c r="G48" s="50">
        <f>-'III. CF - Concessionaire'!E53</f>
        <v>-10000000</v>
      </c>
      <c r="H48" s="52">
        <f>-'III. CF - Concessionaire'!F53</f>
        <v>-22113318.932061013</v>
      </c>
      <c r="I48" s="52">
        <f>-'III. CF - Concessionaire'!H53</f>
        <v>0</v>
      </c>
      <c r="J48" s="52">
        <f>-'III. CF - Concessionaire'!I53</f>
        <v>-5819294.4558055298</v>
      </c>
      <c r="K48" s="202">
        <f t="shared" si="1"/>
        <v>2058</v>
      </c>
      <c r="L48" s="52">
        <f t="shared" si="2"/>
        <v>78453275.728244051</v>
      </c>
      <c r="M48" s="51">
        <f t="shared" si="7"/>
        <v>0</v>
      </c>
      <c r="N48" s="51">
        <f t="shared" si="7"/>
        <v>0</v>
      </c>
      <c r="O48" s="51">
        <f>MAX(0,$L48*'I. Assumptions'!$E$11)</f>
        <v>0</v>
      </c>
      <c r="P48" s="51">
        <f>MAX(0,$L48*'I. Assumptions'!$E$12)</f>
        <v>27458646.504885416</v>
      </c>
      <c r="Q48" s="51">
        <f t="shared" si="5"/>
        <v>0</v>
      </c>
      <c r="R48" s="51">
        <f>(MIN($M$6:$N$56)+SUM(Q$5:Q48))*(L48&lt;0)</f>
        <v>0</v>
      </c>
      <c r="S48" s="53">
        <f t="shared" si="0"/>
        <v>27458646.504885416</v>
      </c>
      <c r="AN48" s="36"/>
    </row>
    <row r="49" spans="1:40" s="7" customFormat="1" ht="18.899999999999999" customHeight="1">
      <c r="A49" s="36"/>
      <c r="B49" s="113"/>
      <c r="C49" s="202">
        <f>'III. CF - Concessionaire'!B54</f>
        <v>2059</v>
      </c>
      <c r="D49" s="50">
        <f>'III. CF - Concessionaire'!C54</f>
        <v>367727927.69703192</v>
      </c>
      <c r="E49" s="51">
        <f>-'III. CF - Concessionaire'!D54</f>
        <v>-251342038.58092132</v>
      </c>
      <c r="F49" s="50">
        <f>-IFERROR(VLOOKUP(C49, 'VIII. Depreciation'!$C$11:$E$40, COLUMNS('VIII. Depreciation'!$C$11:$E$40), 0), 0)</f>
        <v>0</v>
      </c>
      <c r="G49" s="50">
        <f>-'III. CF - Concessionaire'!E54</f>
        <v>-10000000</v>
      </c>
      <c r="H49" s="52">
        <f>-'III. CF - Concessionaire'!F54</f>
        <v>-22113318.932061013</v>
      </c>
      <c r="I49" s="52">
        <f>-'III. CF - Concessionaire'!H54</f>
        <v>0</v>
      </c>
      <c r="J49" s="52">
        <f>-'III. CF - Concessionaire'!I54</f>
        <v>-5819294.4558055298</v>
      </c>
      <c r="K49" s="202">
        <f t="shared" si="1"/>
        <v>2059</v>
      </c>
      <c r="L49" s="52">
        <f t="shared" si="2"/>
        <v>78453275.728244051</v>
      </c>
      <c r="M49" s="51">
        <f t="shared" si="7"/>
        <v>0</v>
      </c>
      <c r="N49" s="51">
        <f t="shared" si="7"/>
        <v>0</v>
      </c>
      <c r="O49" s="51">
        <f>MAX(0,$L49*'I. Assumptions'!$E$11)</f>
        <v>0</v>
      </c>
      <c r="P49" s="51">
        <f>MAX(0,$L49*'I. Assumptions'!$E$12)</f>
        <v>27458646.504885416</v>
      </c>
      <c r="Q49" s="51">
        <f t="shared" si="5"/>
        <v>0</v>
      </c>
      <c r="R49" s="51">
        <f>(MIN($M$6:$N$56)+SUM(Q$5:Q49))*(L49&lt;0)</f>
        <v>0</v>
      </c>
      <c r="S49" s="53">
        <f t="shared" si="0"/>
        <v>27458646.504885416</v>
      </c>
      <c r="AN49" s="36"/>
    </row>
    <row r="50" spans="1:40" s="7" customFormat="1" ht="18.899999999999999" customHeight="1">
      <c r="A50" s="36"/>
      <c r="B50" s="113"/>
      <c r="C50" s="202">
        <f>'III. CF - Concessionaire'!B55</f>
        <v>2060</v>
      </c>
      <c r="D50" s="50">
        <f>'III. CF - Concessionaire'!C55</f>
        <v>367727927.69703192</v>
      </c>
      <c r="E50" s="51">
        <f>-'III. CF - Concessionaire'!D55</f>
        <v>-251342038.58092132</v>
      </c>
      <c r="F50" s="50">
        <f>-IFERROR(VLOOKUP(C50, 'VIII. Depreciation'!$C$11:$E$40, COLUMNS('VIII. Depreciation'!$C$11:$E$40), 0), 0)</f>
        <v>0</v>
      </c>
      <c r="G50" s="50">
        <f>-'III. CF - Concessionaire'!E55</f>
        <v>-10000000</v>
      </c>
      <c r="H50" s="52">
        <f>-'III. CF - Concessionaire'!F55</f>
        <v>-22113318.932061013</v>
      </c>
      <c r="I50" s="52">
        <f>-'III. CF - Concessionaire'!H55</f>
        <v>0</v>
      </c>
      <c r="J50" s="52">
        <f>-'III. CF - Concessionaire'!I55</f>
        <v>-5819294.4558055298</v>
      </c>
      <c r="K50" s="202">
        <f t="shared" si="1"/>
        <v>2060</v>
      </c>
      <c r="L50" s="52">
        <f t="shared" si="2"/>
        <v>78453275.728244051</v>
      </c>
      <c r="M50" s="51">
        <f t="shared" si="7"/>
        <v>0</v>
      </c>
      <c r="N50" s="51">
        <f t="shared" si="7"/>
        <v>0</v>
      </c>
      <c r="O50" s="51">
        <f>MAX(0,$L50*'I. Assumptions'!$E$11)</f>
        <v>0</v>
      </c>
      <c r="P50" s="51">
        <f>MAX(0,$L50*'I. Assumptions'!$E$12)</f>
        <v>27458646.504885416</v>
      </c>
      <c r="Q50" s="51">
        <f t="shared" si="5"/>
        <v>0</v>
      </c>
      <c r="R50" s="51">
        <f>(MIN($M$6:$N$56)+SUM(Q$5:Q50))*(L50&lt;0)</f>
        <v>0</v>
      </c>
      <c r="S50" s="53">
        <f t="shared" si="0"/>
        <v>27458646.504885416</v>
      </c>
      <c r="AN50" s="36"/>
    </row>
    <row r="51" spans="1:40" s="7" customFormat="1" ht="18.899999999999999" customHeight="1">
      <c r="A51" s="36"/>
      <c r="B51" s="113"/>
      <c r="C51" s="202">
        <f>'III. CF - Concessionaire'!B56</f>
        <v>2061</v>
      </c>
      <c r="D51" s="50">
        <f>'III. CF - Concessionaire'!C56</f>
        <v>367727927.69703192</v>
      </c>
      <c r="E51" s="51">
        <f>-'III. CF - Concessionaire'!D56</f>
        <v>-251342038.58092132</v>
      </c>
      <c r="F51" s="50">
        <f>-IFERROR(VLOOKUP(C51, 'VIII. Depreciation'!$C$11:$E$40, COLUMNS('VIII. Depreciation'!$C$11:$E$40), 0), 0)</f>
        <v>0</v>
      </c>
      <c r="G51" s="50">
        <f>-'III. CF - Concessionaire'!E56</f>
        <v>-10000000</v>
      </c>
      <c r="H51" s="52">
        <f>-'III. CF - Concessionaire'!F56</f>
        <v>-22113318.932061013</v>
      </c>
      <c r="I51" s="52">
        <f>-'III. CF - Concessionaire'!H56</f>
        <v>0</v>
      </c>
      <c r="J51" s="52">
        <f>-'III. CF - Concessionaire'!I56</f>
        <v>-5819294.4558055298</v>
      </c>
      <c r="K51" s="202">
        <f t="shared" si="1"/>
        <v>2061</v>
      </c>
      <c r="L51" s="52">
        <f t="shared" si="2"/>
        <v>78453275.728244051</v>
      </c>
      <c r="M51" s="51">
        <f t="shared" si="7"/>
        <v>0</v>
      </c>
      <c r="N51" s="51">
        <f t="shared" si="7"/>
        <v>0</v>
      </c>
      <c r="O51" s="51">
        <f>MAX(0,$L51*'I. Assumptions'!$E$11)</f>
        <v>0</v>
      </c>
      <c r="P51" s="51">
        <f>MAX(0,$L51*'I. Assumptions'!$E$12)</f>
        <v>27458646.504885416</v>
      </c>
      <c r="Q51" s="51">
        <f t="shared" si="5"/>
        <v>0</v>
      </c>
      <c r="R51" s="51">
        <f>(MIN($M$6:$N$56)+SUM(Q$5:Q51))*(L51&lt;0)</f>
        <v>0</v>
      </c>
      <c r="S51" s="53">
        <f t="shared" si="0"/>
        <v>27458646.504885416</v>
      </c>
      <c r="AN51" s="36"/>
    </row>
    <row r="52" spans="1:40" s="7" customFormat="1" ht="18.899999999999999" customHeight="1">
      <c r="A52" s="36"/>
      <c r="B52" s="113"/>
      <c r="C52" s="202">
        <f>'III. CF - Concessionaire'!B57</f>
        <v>2062</v>
      </c>
      <c r="D52" s="50">
        <f>'III. CF - Concessionaire'!C57</f>
        <v>367727927.69703192</v>
      </c>
      <c r="E52" s="51">
        <f>-'III. CF - Concessionaire'!D57</f>
        <v>-251342038.58092132</v>
      </c>
      <c r="F52" s="50">
        <f>-IFERROR(VLOOKUP(C52, 'VIII. Depreciation'!$C$11:$E$40, COLUMNS('VIII. Depreciation'!$C$11:$E$40), 0), 0)</f>
        <v>0</v>
      </c>
      <c r="G52" s="50">
        <f>-'III. CF - Concessionaire'!E57</f>
        <v>-10000000</v>
      </c>
      <c r="H52" s="52">
        <f>-'III. CF - Concessionaire'!F57</f>
        <v>-22113318.932061013</v>
      </c>
      <c r="I52" s="52">
        <f>-'III. CF - Concessionaire'!H57</f>
        <v>0</v>
      </c>
      <c r="J52" s="52">
        <f>-'III. CF - Concessionaire'!I57</f>
        <v>-5819294.4558055298</v>
      </c>
      <c r="K52" s="202">
        <f t="shared" si="1"/>
        <v>2062</v>
      </c>
      <c r="L52" s="52">
        <f t="shared" si="2"/>
        <v>78453275.728244051</v>
      </c>
      <c r="M52" s="51">
        <f t="shared" si="7"/>
        <v>0</v>
      </c>
      <c r="N52" s="51">
        <f t="shared" si="7"/>
        <v>0</v>
      </c>
      <c r="O52" s="51">
        <f>MAX(0,$L52*'I. Assumptions'!$E$11)</f>
        <v>0</v>
      </c>
      <c r="P52" s="51">
        <f>MAX(0,$L52*'I. Assumptions'!$E$12)</f>
        <v>27458646.504885416</v>
      </c>
      <c r="Q52" s="51">
        <f t="shared" si="5"/>
        <v>0</v>
      </c>
      <c r="R52" s="51">
        <f>(MIN($M$6:$N$56)+SUM(Q$5:Q52))*(L52&lt;0)</f>
        <v>0</v>
      </c>
      <c r="S52" s="53">
        <f t="shared" si="0"/>
        <v>27458646.504885416</v>
      </c>
      <c r="AN52" s="36"/>
    </row>
    <row r="53" spans="1:40" s="7" customFormat="1" ht="18.899999999999999" customHeight="1">
      <c r="A53" s="36"/>
      <c r="B53" s="113"/>
      <c r="C53" s="202">
        <f>'III. CF - Concessionaire'!B58</f>
        <v>2063</v>
      </c>
      <c r="D53" s="50">
        <f>'III. CF - Concessionaire'!C58</f>
        <v>367727927.69703192</v>
      </c>
      <c r="E53" s="51">
        <f>-'III. CF - Concessionaire'!D58</f>
        <v>-251342038.58092132</v>
      </c>
      <c r="F53" s="50">
        <f>-IFERROR(VLOOKUP(C53, 'VIII. Depreciation'!$C$11:$E$40, COLUMNS('VIII. Depreciation'!$C$11:$E$40), 0), 0)</f>
        <v>0</v>
      </c>
      <c r="G53" s="50">
        <f>-'III. CF - Concessionaire'!E58</f>
        <v>-10000000</v>
      </c>
      <c r="H53" s="52">
        <f>-'III. CF - Concessionaire'!F58</f>
        <v>-22113318.932061013</v>
      </c>
      <c r="I53" s="52">
        <f>-'III. CF - Concessionaire'!H58</f>
        <v>0</v>
      </c>
      <c r="J53" s="52">
        <f>-'III. CF - Concessionaire'!I58</f>
        <v>-5819294.4558055298</v>
      </c>
      <c r="K53" s="202">
        <f t="shared" si="1"/>
        <v>2063</v>
      </c>
      <c r="L53" s="52">
        <f t="shared" si="2"/>
        <v>78453275.728244051</v>
      </c>
      <c r="M53" s="51">
        <f t="shared" si="7"/>
        <v>0</v>
      </c>
      <c r="N53" s="51">
        <f t="shared" si="7"/>
        <v>0</v>
      </c>
      <c r="O53" s="51">
        <f>MAX(0,$L53*'I. Assumptions'!$E$11)</f>
        <v>0</v>
      </c>
      <c r="P53" s="51">
        <f>MAX(0,$L53*'I. Assumptions'!$E$12)</f>
        <v>27458646.504885416</v>
      </c>
      <c r="Q53" s="51">
        <f t="shared" si="5"/>
        <v>0</v>
      </c>
      <c r="R53" s="51">
        <f>(MIN($M$6:$N$56)+SUM(Q$5:Q53))*(L53&lt;0)</f>
        <v>0</v>
      </c>
      <c r="S53" s="53">
        <f t="shared" si="0"/>
        <v>27458646.504885416</v>
      </c>
      <c r="AN53" s="36"/>
    </row>
    <row r="54" spans="1:40" s="7" customFormat="1" ht="18.899999999999999" customHeight="1">
      <c r="A54" s="36"/>
      <c r="B54" s="113"/>
      <c r="C54" s="202">
        <f>'III. CF - Concessionaire'!B59</f>
        <v>2064</v>
      </c>
      <c r="D54" s="50">
        <f>'III. CF - Concessionaire'!C59</f>
        <v>367727927.69703192</v>
      </c>
      <c r="E54" s="51">
        <f>-'III. CF - Concessionaire'!D59</f>
        <v>-251342038.58092132</v>
      </c>
      <c r="F54" s="50">
        <f>-IFERROR(VLOOKUP(C54, 'VIII. Depreciation'!$C$11:$E$40, COLUMNS('VIII. Depreciation'!$C$11:$E$40), 0), 0)</f>
        <v>0</v>
      </c>
      <c r="G54" s="50">
        <f>-'III. CF - Concessionaire'!E59</f>
        <v>-10000000</v>
      </c>
      <c r="H54" s="52">
        <f>-'III. CF - Concessionaire'!F59</f>
        <v>-22113318.932061013</v>
      </c>
      <c r="I54" s="52">
        <f>-'III. CF - Concessionaire'!H59</f>
        <v>0</v>
      </c>
      <c r="J54" s="52">
        <f>-'III. CF - Concessionaire'!I59</f>
        <v>-5819294.4558055298</v>
      </c>
      <c r="K54" s="202">
        <f t="shared" si="1"/>
        <v>2064</v>
      </c>
      <c r="L54" s="52">
        <f t="shared" si="2"/>
        <v>78453275.728244051</v>
      </c>
      <c r="M54" s="51">
        <f t="shared" ref="M54:N54" si="8">IF($L54&lt;0,$L54+M53,0)</f>
        <v>0</v>
      </c>
      <c r="N54" s="51">
        <f t="shared" si="8"/>
        <v>0</v>
      </c>
      <c r="O54" s="51">
        <f>MAX(0,$L54*'I. Assumptions'!$E$11)</f>
        <v>0</v>
      </c>
      <c r="P54" s="51">
        <f>MAX(0,$L54*'I. Assumptions'!$E$12)</f>
        <v>27458646.504885416</v>
      </c>
      <c r="Q54" s="51">
        <f t="shared" si="5"/>
        <v>0</v>
      </c>
      <c r="R54" s="51">
        <f>(MIN($M$6:$N$56)+SUM(Q$5:Q54))*(L54&lt;0)</f>
        <v>0</v>
      </c>
      <c r="S54" s="53">
        <f t="shared" ref="S54:S56" si="9">IF(R54&lt;0,0,O54+P54)</f>
        <v>27458646.504885416</v>
      </c>
      <c r="AN54" s="36"/>
    </row>
    <row r="55" spans="1:40" s="7" customFormat="1" ht="18.899999999999999" customHeight="1">
      <c r="A55" s="36"/>
      <c r="B55" s="113"/>
      <c r="C55" s="202">
        <f>'III. CF - Concessionaire'!B60</f>
        <v>2065</v>
      </c>
      <c r="D55" s="50">
        <f>'III. CF - Concessionaire'!C60</f>
        <v>367727927.69703192</v>
      </c>
      <c r="E55" s="51">
        <f>-'III. CF - Concessionaire'!D60</f>
        <v>-251342038.58092132</v>
      </c>
      <c r="F55" s="50">
        <f>-IFERROR(VLOOKUP(C55, 'VIII. Depreciation'!$C$11:$E$40, COLUMNS('VIII. Depreciation'!$C$11:$E$40), 0), 0)</f>
        <v>0</v>
      </c>
      <c r="G55" s="50">
        <f>-'III. CF - Concessionaire'!E60</f>
        <v>-10000000</v>
      </c>
      <c r="H55" s="52">
        <f>-'III. CF - Concessionaire'!F60</f>
        <v>-22113318.932061013</v>
      </c>
      <c r="I55" s="52">
        <f>-'III. CF - Concessionaire'!H60</f>
        <v>0</v>
      </c>
      <c r="J55" s="52">
        <f>-'III. CF - Concessionaire'!I60</f>
        <v>-5819294.4558055298</v>
      </c>
      <c r="K55" s="202">
        <f t="shared" si="1"/>
        <v>2065</v>
      </c>
      <c r="L55" s="52">
        <f t="shared" si="2"/>
        <v>78453275.728244051</v>
      </c>
      <c r="M55" s="51">
        <f t="shared" ref="M55:N55" si="10">IF($L55&lt;0,$L55+M54,0)</f>
        <v>0</v>
      </c>
      <c r="N55" s="51">
        <f t="shared" si="10"/>
        <v>0</v>
      </c>
      <c r="O55" s="51">
        <f>MAX(0,$L55*'I. Assumptions'!$E$11)</f>
        <v>0</v>
      </c>
      <c r="P55" s="51">
        <f>MAX(0,$L55*'I. Assumptions'!$E$12)</f>
        <v>27458646.504885416</v>
      </c>
      <c r="Q55" s="51">
        <f t="shared" si="5"/>
        <v>0</v>
      </c>
      <c r="R55" s="51">
        <f>(MIN($M$6:$N$56)+SUM(Q$5:Q55))*(L55&lt;0)</f>
        <v>0</v>
      </c>
      <c r="S55" s="53">
        <f t="shared" si="9"/>
        <v>27458646.504885416</v>
      </c>
      <c r="AN55" s="36"/>
    </row>
    <row r="56" spans="1:40" s="7" customFormat="1" ht="18.899999999999999" customHeight="1">
      <c r="A56" s="36"/>
      <c r="B56" s="113"/>
      <c r="C56" s="202">
        <f>'III. CF - Concessionaire'!B61</f>
        <v>2066</v>
      </c>
      <c r="D56" s="50">
        <f>'III. CF - Concessionaire'!C61</f>
        <v>367727927.69703192</v>
      </c>
      <c r="E56" s="51">
        <f>-'III. CF - Concessionaire'!D61</f>
        <v>-251342038.58092132</v>
      </c>
      <c r="F56" s="50">
        <f>-IFERROR(VLOOKUP(C56, 'VIII. Depreciation'!$C$11:$E$40, COLUMNS('VIII. Depreciation'!$C$11:$E$40), 0), 0)</f>
        <v>0</v>
      </c>
      <c r="G56" s="50">
        <f>-'III. CF - Concessionaire'!E61</f>
        <v>-10000000</v>
      </c>
      <c r="H56" s="52">
        <f>-'III. CF - Concessionaire'!F61</f>
        <v>-22113318.932061013</v>
      </c>
      <c r="I56" s="52">
        <f>-'III. CF - Concessionaire'!H61</f>
        <v>0</v>
      </c>
      <c r="J56" s="52">
        <f>-'III. CF - Concessionaire'!I61</f>
        <v>-5819294.4558055298</v>
      </c>
      <c r="K56" s="202">
        <f t="shared" si="1"/>
        <v>2066</v>
      </c>
      <c r="L56" s="52">
        <f t="shared" si="2"/>
        <v>78453275.728244051</v>
      </c>
      <c r="M56" s="51">
        <f t="shared" ref="M56:N56" si="11">IF($L56&lt;0,$L56+M55,0)</f>
        <v>0</v>
      </c>
      <c r="N56" s="51">
        <f t="shared" si="11"/>
        <v>0</v>
      </c>
      <c r="O56" s="51">
        <f>MAX(0,$L56*'I. Assumptions'!$E$11)</f>
        <v>0</v>
      </c>
      <c r="P56" s="51">
        <f>MAX(0,$L56*'I. Assumptions'!$E$12)</f>
        <v>27458646.504885416</v>
      </c>
      <c r="Q56" s="51">
        <f t="shared" si="5"/>
        <v>0</v>
      </c>
      <c r="R56" s="51">
        <f>(MIN($M$6:$N$56)+SUM(Q$5:Q56))*(L56&lt;0)</f>
        <v>0</v>
      </c>
      <c r="S56" s="53">
        <f t="shared" si="9"/>
        <v>27458646.504885416</v>
      </c>
      <c r="AN56" s="36"/>
    </row>
    <row r="57" spans="1:40" s="7" customFormat="1" ht="18.899999999999999" customHeight="1">
      <c r="A57" s="36"/>
      <c r="B57" s="110"/>
      <c r="C57" s="119" t="s">
        <v>5</v>
      </c>
      <c r="D57" s="117">
        <f>SUM(D5:D56)</f>
        <v>13564564361.165751</v>
      </c>
      <c r="E57" s="117">
        <f t="shared" ref="E57:Q57" si="12">SUM(E5:E56)</f>
        <v>-9271379740.8567963</v>
      </c>
      <c r="F57" s="117">
        <f t="shared" si="12"/>
        <v>-77999999.99999997</v>
      </c>
      <c r="G57" s="117">
        <f t="shared" si="12"/>
        <v>-480000000</v>
      </c>
      <c r="H57" s="117">
        <f t="shared" si="12"/>
        <v>-815705077.85870242</v>
      </c>
      <c r="I57" s="117">
        <f t="shared" si="12"/>
        <v>-280946021.30000001</v>
      </c>
      <c r="J57" s="117">
        <f t="shared" si="12"/>
        <v>-214659231.01544827</v>
      </c>
      <c r="K57" s="119" t="s">
        <v>5</v>
      </c>
      <c r="L57" s="117">
        <f t="shared" si="12"/>
        <v>2423874290.1348114</v>
      </c>
      <c r="M57" s="117">
        <f t="shared" si="12"/>
        <v>0</v>
      </c>
      <c r="N57" s="117">
        <f t="shared" si="12"/>
        <v>0</v>
      </c>
      <c r="O57" s="117">
        <f t="shared" si="12"/>
        <v>0</v>
      </c>
      <c r="P57" s="117">
        <f t="shared" si="12"/>
        <v>848356001.54718447</v>
      </c>
      <c r="Q57" s="117">
        <f t="shared" si="12"/>
        <v>0</v>
      </c>
      <c r="R57" s="117"/>
      <c r="S57" s="117">
        <f>SUM(S5:S56)</f>
        <v>848356001.54718447</v>
      </c>
      <c r="AN57" s="36"/>
    </row>
    <row r="58" spans="1:40" s="7" customFormat="1">
      <c r="A58" s="36"/>
      <c r="B58" s="110"/>
      <c r="C58" s="113"/>
      <c r="D58" s="114"/>
      <c r="E58" s="114"/>
      <c r="F58" s="114"/>
      <c r="G58" s="114"/>
      <c r="H58" s="114"/>
      <c r="I58" s="114"/>
      <c r="J58" s="114"/>
      <c r="K58" s="113"/>
      <c r="L58" s="114"/>
      <c r="M58" s="114"/>
      <c r="N58" s="114"/>
      <c r="O58" s="114"/>
      <c r="P58" s="114"/>
      <c r="Q58" s="114"/>
      <c r="R58" s="114"/>
      <c r="S58" s="114"/>
      <c r="AN58" s="36"/>
    </row>
    <row r="59" spans="1:40" s="7" customFormat="1">
      <c r="A59" s="36"/>
      <c r="B59" s="110"/>
      <c r="C59" s="113"/>
      <c r="D59" s="114"/>
      <c r="E59" s="114"/>
      <c r="F59" s="114"/>
      <c r="G59" s="114"/>
      <c r="H59" s="114"/>
      <c r="I59" s="114"/>
      <c r="J59" s="114"/>
      <c r="K59" s="113"/>
      <c r="L59" s="114"/>
      <c r="M59" s="114"/>
      <c r="N59" s="114"/>
      <c r="O59" s="114"/>
      <c r="P59" s="114"/>
      <c r="Q59" s="114"/>
      <c r="R59" s="114"/>
      <c r="S59" s="114"/>
      <c r="AN59" s="36"/>
    </row>
    <row r="60" spans="1:40" s="7" customFormat="1">
      <c r="A60" s="36"/>
      <c r="B60" s="110"/>
      <c r="C60" s="113"/>
      <c r="D60" s="114"/>
      <c r="E60" s="114"/>
      <c r="F60" s="114"/>
      <c r="G60" s="114"/>
      <c r="H60" s="114"/>
      <c r="I60" s="114"/>
      <c r="J60" s="114"/>
      <c r="K60" s="113"/>
      <c r="L60" s="114"/>
      <c r="M60" s="114"/>
      <c r="N60" s="114"/>
      <c r="O60" s="114"/>
      <c r="P60" s="114"/>
      <c r="Q60" s="114"/>
      <c r="R60" s="114"/>
      <c r="S60" s="114"/>
      <c r="AN60" s="36"/>
    </row>
    <row r="61" spans="1:40" s="7" customFormat="1">
      <c r="A61" s="36"/>
      <c r="B61" s="110"/>
      <c r="C61" s="113"/>
      <c r="D61" s="114"/>
      <c r="E61" s="114"/>
      <c r="F61" s="114"/>
      <c r="G61" s="114"/>
      <c r="H61" s="114"/>
      <c r="I61" s="114"/>
      <c r="J61" s="114"/>
      <c r="K61" s="113"/>
      <c r="L61" s="114"/>
      <c r="M61" s="114"/>
      <c r="N61" s="114"/>
      <c r="O61" s="114"/>
      <c r="P61" s="114"/>
      <c r="Q61" s="114"/>
      <c r="R61" s="114"/>
      <c r="S61" s="114"/>
      <c r="AN61" s="36"/>
    </row>
    <row r="62" spans="1:40" s="7" customFormat="1" hidden="1">
      <c r="A62" s="36"/>
      <c r="B62" s="110"/>
      <c r="C62" s="113"/>
      <c r="D62" s="114"/>
      <c r="E62" s="114"/>
      <c r="F62" s="114"/>
      <c r="G62" s="114"/>
      <c r="H62" s="114"/>
      <c r="I62" s="114"/>
      <c r="J62" s="114"/>
      <c r="K62" s="113"/>
      <c r="L62" s="114"/>
      <c r="M62" s="114"/>
      <c r="N62" s="114"/>
      <c r="O62" s="114"/>
      <c r="P62" s="114"/>
      <c r="Q62" s="114"/>
      <c r="R62" s="114"/>
      <c r="S62" s="114"/>
      <c r="AN62" s="36"/>
    </row>
    <row r="63" spans="1:40" s="7" customFormat="1" hidden="1">
      <c r="A63" s="36"/>
      <c r="B63" s="110"/>
      <c r="C63" s="113"/>
      <c r="D63" s="114"/>
      <c r="E63" s="114"/>
      <c r="F63" s="114"/>
      <c r="G63" s="114"/>
      <c r="H63" s="114"/>
      <c r="I63" s="114"/>
      <c r="J63" s="114"/>
      <c r="K63" s="113"/>
      <c r="L63" s="114"/>
      <c r="M63" s="114"/>
      <c r="N63" s="114"/>
      <c r="O63" s="114"/>
      <c r="P63" s="114"/>
      <c r="Q63" s="114"/>
      <c r="R63" s="114"/>
      <c r="S63" s="114"/>
      <c r="AN63" s="36"/>
    </row>
    <row r="64" spans="1:40" s="7" customFormat="1" hidden="1">
      <c r="A64" s="36"/>
      <c r="B64" s="110"/>
      <c r="C64" s="113"/>
      <c r="D64" s="114"/>
      <c r="E64" s="114"/>
      <c r="F64" s="114"/>
      <c r="G64" s="114"/>
      <c r="H64" s="114"/>
      <c r="I64" s="114"/>
      <c r="J64" s="114"/>
      <c r="K64" s="113"/>
      <c r="L64" s="114"/>
      <c r="M64" s="114"/>
      <c r="N64" s="114"/>
      <c r="O64" s="114"/>
      <c r="P64" s="114"/>
      <c r="Q64" s="114"/>
      <c r="R64" s="114"/>
      <c r="S64" s="114"/>
      <c r="AN64" s="36"/>
    </row>
    <row r="65" spans="1:40" s="7" customFormat="1" hidden="1">
      <c r="A65" s="36"/>
      <c r="B65" s="110"/>
      <c r="C65" s="113"/>
      <c r="D65" s="114"/>
      <c r="E65" s="114"/>
      <c r="F65" s="114"/>
      <c r="G65" s="114"/>
      <c r="H65" s="114"/>
      <c r="I65" s="114"/>
      <c r="J65" s="114"/>
      <c r="K65" s="113"/>
      <c r="L65" s="114"/>
      <c r="M65" s="114"/>
      <c r="N65" s="114"/>
      <c r="O65" s="114"/>
      <c r="P65" s="114"/>
      <c r="Q65" s="114"/>
      <c r="R65" s="114"/>
      <c r="S65" s="114"/>
      <c r="AN65" s="36"/>
    </row>
    <row r="66" spans="1:40" s="7" customFormat="1" hidden="1">
      <c r="A66" s="36"/>
      <c r="B66" s="110"/>
      <c r="C66" s="113"/>
      <c r="D66" s="114"/>
      <c r="E66" s="114"/>
      <c r="F66" s="114"/>
      <c r="G66" s="114"/>
      <c r="H66" s="114"/>
      <c r="I66" s="114"/>
      <c r="J66" s="114"/>
      <c r="K66" s="113"/>
      <c r="L66" s="114"/>
      <c r="M66" s="114"/>
      <c r="N66" s="114"/>
      <c r="O66" s="114"/>
      <c r="P66" s="114"/>
      <c r="Q66" s="114"/>
      <c r="R66" s="114"/>
      <c r="S66" s="114"/>
      <c r="AN66" s="36"/>
    </row>
    <row r="67" spans="1:40" s="7" customFormat="1" hidden="1">
      <c r="A67" s="36"/>
      <c r="B67" s="110"/>
      <c r="C67" s="113"/>
      <c r="D67" s="114"/>
      <c r="E67" s="114"/>
      <c r="F67" s="114"/>
      <c r="G67" s="114"/>
      <c r="H67" s="114"/>
      <c r="I67" s="114"/>
      <c r="J67" s="114"/>
      <c r="K67" s="113"/>
      <c r="L67" s="114"/>
      <c r="M67" s="114"/>
      <c r="N67" s="114"/>
      <c r="O67" s="114"/>
      <c r="P67" s="114"/>
      <c r="Q67" s="114"/>
      <c r="R67" s="114"/>
      <c r="S67" s="114"/>
      <c r="AN67" s="36"/>
    </row>
    <row r="68" spans="1:40" s="7" customFormat="1" hidden="1">
      <c r="A68" s="36"/>
      <c r="B68" s="110"/>
      <c r="C68" s="113"/>
      <c r="D68" s="114"/>
      <c r="E68" s="114"/>
      <c r="F68" s="114"/>
      <c r="G68" s="114"/>
      <c r="H68" s="114"/>
      <c r="I68" s="114"/>
      <c r="J68" s="114"/>
      <c r="K68" s="113"/>
      <c r="L68" s="114"/>
      <c r="M68" s="114"/>
      <c r="N68" s="114"/>
      <c r="O68" s="114"/>
      <c r="P68" s="114"/>
      <c r="Q68" s="114"/>
      <c r="R68" s="114"/>
      <c r="S68" s="114"/>
      <c r="AN68" s="36"/>
    </row>
    <row r="69" spans="1:40" s="7" customFormat="1" hidden="1">
      <c r="A69" s="36"/>
      <c r="B69" s="110"/>
      <c r="C69" s="113"/>
      <c r="D69" s="114"/>
      <c r="E69" s="114"/>
      <c r="F69" s="114"/>
      <c r="G69" s="114"/>
      <c r="H69" s="114"/>
      <c r="I69" s="114"/>
      <c r="J69" s="114"/>
      <c r="K69" s="113"/>
      <c r="L69" s="114"/>
      <c r="M69" s="114"/>
      <c r="N69" s="114"/>
      <c r="O69" s="114"/>
      <c r="P69" s="114"/>
      <c r="Q69" s="114"/>
      <c r="R69" s="114"/>
      <c r="S69" s="114"/>
      <c r="AN69" s="36"/>
    </row>
    <row r="70" spans="1:40" s="7" customFormat="1" hidden="1">
      <c r="A70" s="36"/>
      <c r="B70" s="110"/>
      <c r="C70" s="113"/>
      <c r="D70" s="114"/>
      <c r="E70" s="114"/>
      <c r="F70" s="114"/>
      <c r="G70" s="114"/>
      <c r="H70" s="114"/>
      <c r="I70" s="114"/>
      <c r="J70" s="114"/>
      <c r="K70" s="113"/>
      <c r="L70" s="114"/>
      <c r="M70" s="114"/>
      <c r="N70" s="114"/>
      <c r="O70" s="114"/>
      <c r="P70" s="114"/>
      <c r="Q70" s="114"/>
      <c r="R70" s="114"/>
      <c r="S70" s="114"/>
      <c r="AN70" s="36"/>
    </row>
    <row r="71" spans="1:40" s="7" customFormat="1" hidden="1">
      <c r="A71" s="36"/>
      <c r="B71" s="110"/>
      <c r="C71" s="113"/>
      <c r="D71" s="114"/>
      <c r="E71" s="114"/>
      <c r="F71" s="114"/>
      <c r="G71" s="114"/>
      <c r="H71" s="114"/>
      <c r="I71" s="114"/>
      <c r="J71" s="114"/>
      <c r="K71" s="113"/>
      <c r="L71" s="114"/>
      <c r="M71" s="114"/>
      <c r="N71" s="114"/>
      <c r="O71" s="114"/>
      <c r="P71" s="114"/>
      <c r="Q71" s="114"/>
      <c r="R71" s="114"/>
      <c r="S71" s="114"/>
      <c r="AN71" s="36"/>
    </row>
    <row r="72" spans="1:40" s="7" customFormat="1" hidden="1">
      <c r="A72" s="36"/>
      <c r="B72" s="110"/>
      <c r="C72" s="113"/>
      <c r="D72" s="114"/>
      <c r="E72" s="114"/>
      <c r="F72" s="114"/>
      <c r="G72" s="114"/>
      <c r="H72" s="114"/>
      <c r="I72" s="114"/>
      <c r="J72" s="114"/>
      <c r="K72" s="113"/>
      <c r="L72" s="114"/>
      <c r="M72" s="114"/>
      <c r="N72" s="114"/>
      <c r="O72" s="114"/>
      <c r="P72" s="114"/>
      <c r="Q72" s="114"/>
      <c r="R72" s="114"/>
      <c r="S72" s="114"/>
      <c r="AN72" s="36"/>
    </row>
    <row r="73" spans="1:40" s="7" customFormat="1" hidden="1">
      <c r="A73" s="36"/>
      <c r="B73" s="110"/>
      <c r="C73" s="113"/>
      <c r="D73" s="114"/>
      <c r="E73" s="114"/>
      <c r="F73" s="114"/>
      <c r="G73" s="114"/>
      <c r="H73" s="114"/>
      <c r="I73" s="114"/>
      <c r="J73" s="114"/>
      <c r="K73" s="113"/>
      <c r="L73" s="114"/>
      <c r="M73" s="114"/>
      <c r="N73" s="114"/>
      <c r="O73" s="114"/>
      <c r="P73" s="114"/>
      <c r="Q73" s="114"/>
      <c r="R73" s="114"/>
      <c r="S73" s="114"/>
      <c r="AN73" s="36"/>
    </row>
    <row r="74" spans="1:40" s="7" customFormat="1" hidden="1">
      <c r="A74" s="36"/>
      <c r="B74" s="110"/>
      <c r="C74" s="113"/>
      <c r="D74" s="114"/>
      <c r="E74" s="114"/>
      <c r="F74" s="114"/>
      <c r="G74" s="114"/>
      <c r="H74" s="114"/>
      <c r="I74" s="114"/>
      <c r="J74" s="114"/>
      <c r="K74" s="113"/>
      <c r="L74" s="114"/>
      <c r="M74" s="114"/>
      <c r="N74" s="114"/>
      <c r="O74" s="114"/>
      <c r="P74" s="114"/>
      <c r="Q74" s="114"/>
      <c r="R74" s="114"/>
      <c r="S74" s="114"/>
      <c r="AN74" s="36"/>
    </row>
    <row r="75" spans="1:40" s="7" customFormat="1" hidden="1">
      <c r="A75" s="36"/>
      <c r="B75" s="110"/>
      <c r="C75" s="113"/>
      <c r="D75" s="114"/>
      <c r="E75" s="114"/>
      <c r="F75" s="114"/>
      <c r="G75" s="114"/>
      <c r="H75" s="114"/>
      <c r="I75" s="114"/>
      <c r="J75" s="114"/>
      <c r="K75" s="113"/>
      <c r="L75" s="114"/>
      <c r="M75" s="114"/>
      <c r="N75" s="114"/>
      <c r="O75" s="114"/>
      <c r="P75" s="114"/>
      <c r="Q75" s="114"/>
      <c r="R75" s="114"/>
      <c r="S75" s="114"/>
      <c r="AN75" s="36"/>
    </row>
    <row r="76" spans="1:40" s="7" customFormat="1" hidden="1">
      <c r="A76" s="36"/>
      <c r="B76" s="110"/>
      <c r="C76" s="113"/>
      <c r="D76" s="114"/>
      <c r="E76" s="114"/>
      <c r="F76" s="114"/>
      <c r="G76" s="114"/>
      <c r="H76" s="114"/>
      <c r="I76" s="114"/>
      <c r="J76" s="114"/>
      <c r="K76" s="113"/>
      <c r="L76" s="114"/>
      <c r="M76" s="114"/>
      <c r="N76" s="114"/>
      <c r="O76" s="114"/>
      <c r="P76" s="114"/>
      <c r="Q76" s="114"/>
      <c r="R76" s="114"/>
      <c r="S76" s="114"/>
      <c r="AN76" s="36"/>
    </row>
    <row r="77" spans="1:40" s="7" customFormat="1" hidden="1">
      <c r="A77" s="36"/>
      <c r="B77" s="110"/>
      <c r="C77" s="113"/>
      <c r="D77" s="114"/>
      <c r="E77" s="114"/>
      <c r="F77" s="114"/>
      <c r="G77" s="114"/>
      <c r="H77" s="114"/>
      <c r="I77" s="114"/>
      <c r="J77" s="114"/>
      <c r="K77" s="113"/>
      <c r="L77" s="114"/>
      <c r="M77" s="114"/>
      <c r="N77" s="114"/>
      <c r="O77" s="114"/>
      <c r="P77" s="114"/>
      <c r="Q77" s="114"/>
      <c r="R77" s="114"/>
      <c r="S77" s="114"/>
      <c r="AN77" s="36"/>
    </row>
    <row r="78" spans="1:40" s="7" customFormat="1" hidden="1">
      <c r="A78" s="36"/>
      <c r="B78" s="110"/>
      <c r="C78" s="113"/>
      <c r="D78" s="114"/>
      <c r="E78" s="114"/>
      <c r="F78" s="114"/>
      <c r="G78" s="114"/>
      <c r="H78" s="114"/>
      <c r="I78" s="114"/>
      <c r="J78" s="114"/>
      <c r="K78" s="113"/>
      <c r="L78" s="114"/>
      <c r="M78" s="114"/>
      <c r="N78" s="114"/>
      <c r="O78" s="114"/>
      <c r="P78" s="114"/>
      <c r="Q78" s="114"/>
      <c r="R78" s="114"/>
      <c r="S78" s="114"/>
      <c r="AN78" s="36"/>
    </row>
    <row r="79" spans="1:40" s="7" customFormat="1" hidden="1">
      <c r="A79" s="36"/>
      <c r="B79" s="110"/>
      <c r="C79" s="113"/>
      <c r="D79" s="114"/>
      <c r="E79" s="114"/>
      <c r="F79" s="114"/>
      <c r="G79" s="114"/>
      <c r="H79" s="114"/>
      <c r="I79" s="114"/>
      <c r="J79" s="114"/>
      <c r="K79" s="113"/>
      <c r="L79" s="114"/>
      <c r="M79" s="114"/>
      <c r="N79" s="114"/>
      <c r="O79" s="114"/>
      <c r="P79" s="114"/>
      <c r="Q79" s="114"/>
      <c r="R79" s="114"/>
      <c r="S79" s="114"/>
      <c r="AN79" s="36"/>
    </row>
    <row r="80" spans="1:40" s="7" customFormat="1" hidden="1">
      <c r="A80" s="36"/>
      <c r="B80" s="110"/>
      <c r="C80" s="113"/>
      <c r="D80" s="114"/>
      <c r="E80" s="114"/>
      <c r="F80" s="114"/>
      <c r="G80" s="114"/>
      <c r="H80" s="114"/>
      <c r="I80" s="114"/>
      <c r="J80" s="114"/>
      <c r="K80" s="113"/>
      <c r="L80" s="114"/>
      <c r="M80" s="114"/>
      <c r="N80" s="114"/>
      <c r="O80" s="114"/>
      <c r="P80" s="114"/>
      <c r="Q80" s="114"/>
      <c r="R80" s="114"/>
      <c r="S80" s="114"/>
      <c r="AN80" s="36"/>
    </row>
    <row r="81" spans="1:40" s="7" customFormat="1" hidden="1">
      <c r="A81" s="36"/>
      <c r="B81" s="110"/>
      <c r="C81" s="113"/>
      <c r="D81" s="114"/>
      <c r="E81" s="114"/>
      <c r="F81" s="114"/>
      <c r="G81" s="114"/>
      <c r="H81" s="114"/>
      <c r="I81" s="114"/>
      <c r="J81" s="114"/>
      <c r="K81" s="113"/>
      <c r="L81" s="114"/>
      <c r="M81" s="114"/>
      <c r="N81" s="114"/>
      <c r="O81" s="114"/>
      <c r="P81" s="114"/>
      <c r="Q81" s="114"/>
      <c r="R81" s="114"/>
      <c r="S81" s="114"/>
      <c r="AN81" s="36"/>
    </row>
    <row r="82" spans="1:40" s="7" customFormat="1" hidden="1">
      <c r="A82" s="36"/>
      <c r="B82" s="110"/>
      <c r="C82" s="113"/>
      <c r="D82" s="114"/>
      <c r="E82" s="114"/>
      <c r="F82" s="114"/>
      <c r="G82" s="114"/>
      <c r="H82" s="114"/>
      <c r="I82" s="114"/>
      <c r="J82" s="114"/>
      <c r="K82" s="113"/>
      <c r="L82" s="114"/>
      <c r="M82" s="114"/>
      <c r="N82" s="114"/>
      <c r="O82" s="114"/>
      <c r="P82" s="114"/>
      <c r="Q82" s="114"/>
      <c r="R82" s="114"/>
      <c r="S82" s="114"/>
      <c r="AN82" s="36"/>
    </row>
    <row r="83" spans="1:40" s="7" customFormat="1" hidden="1">
      <c r="A83" s="36"/>
      <c r="B83" s="110"/>
      <c r="C83" s="113"/>
      <c r="D83" s="114"/>
      <c r="E83" s="114"/>
      <c r="F83" s="114"/>
      <c r="G83" s="114"/>
      <c r="H83" s="114"/>
      <c r="I83" s="114"/>
      <c r="J83" s="114"/>
      <c r="K83" s="113"/>
      <c r="L83" s="114"/>
      <c r="M83" s="114"/>
      <c r="N83" s="114"/>
      <c r="O83" s="114"/>
      <c r="P83" s="114"/>
      <c r="Q83" s="114"/>
      <c r="R83" s="114"/>
      <c r="S83" s="114"/>
      <c r="AN83" s="36"/>
    </row>
    <row r="84" spans="1:40" s="7" customFormat="1" hidden="1">
      <c r="A84" s="36"/>
      <c r="B84" s="110"/>
      <c r="C84" s="113"/>
      <c r="D84" s="114"/>
      <c r="E84" s="114"/>
      <c r="F84" s="114"/>
      <c r="G84" s="114"/>
      <c r="H84" s="114"/>
      <c r="I84" s="114"/>
      <c r="J84" s="114"/>
      <c r="K84" s="113"/>
      <c r="L84" s="114"/>
      <c r="M84" s="114"/>
      <c r="N84" s="114"/>
      <c r="O84" s="114"/>
      <c r="P84" s="114"/>
      <c r="Q84" s="114"/>
      <c r="R84" s="114"/>
      <c r="S84" s="114"/>
      <c r="AN84" s="36"/>
    </row>
    <row r="85" spans="1:40" s="7" customFormat="1" hidden="1">
      <c r="A85" s="36"/>
      <c r="B85" s="110"/>
      <c r="C85" s="113"/>
      <c r="D85" s="114"/>
      <c r="E85" s="114"/>
      <c r="F85" s="114"/>
      <c r="G85" s="114"/>
      <c r="H85" s="114"/>
      <c r="I85" s="114"/>
      <c r="J85" s="114"/>
      <c r="K85" s="113"/>
      <c r="L85" s="114"/>
      <c r="M85" s="114"/>
      <c r="N85" s="114"/>
      <c r="O85" s="114"/>
      <c r="P85" s="114"/>
      <c r="Q85" s="114"/>
      <c r="R85" s="114"/>
      <c r="S85" s="114"/>
      <c r="AN85" s="36"/>
    </row>
    <row r="86" spans="1:40" s="7" customFormat="1" hidden="1">
      <c r="A86" s="36"/>
      <c r="B86" s="110"/>
      <c r="C86" s="113"/>
      <c r="D86" s="114"/>
      <c r="E86" s="114"/>
      <c r="F86" s="114"/>
      <c r="G86" s="114"/>
      <c r="H86" s="114"/>
      <c r="I86" s="114"/>
      <c r="J86" s="114"/>
      <c r="K86" s="113"/>
      <c r="L86" s="114"/>
      <c r="M86" s="114"/>
      <c r="N86" s="114"/>
      <c r="O86" s="114"/>
      <c r="P86" s="114"/>
      <c r="Q86" s="114"/>
      <c r="R86" s="114"/>
      <c r="S86" s="114"/>
      <c r="AN86" s="36"/>
    </row>
    <row r="87" spans="1:40" s="7" customFormat="1" hidden="1">
      <c r="A87" s="36"/>
      <c r="B87" s="110"/>
      <c r="C87" s="113"/>
      <c r="D87" s="114"/>
      <c r="E87" s="114"/>
      <c r="F87" s="114"/>
      <c r="G87" s="114"/>
      <c r="H87" s="114"/>
      <c r="I87" s="114"/>
      <c r="J87" s="114"/>
      <c r="K87" s="113"/>
      <c r="L87" s="114"/>
      <c r="M87" s="114"/>
      <c r="N87" s="114"/>
      <c r="O87" s="114"/>
      <c r="P87" s="114"/>
      <c r="Q87" s="114"/>
      <c r="R87" s="114"/>
      <c r="S87" s="114"/>
      <c r="AN87" s="36"/>
    </row>
    <row r="88" spans="1:40" s="7" customFormat="1" hidden="1">
      <c r="A88" s="36"/>
      <c r="B88" s="36"/>
      <c r="C88" s="38"/>
      <c r="D88" s="36"/>
      <c r="E88" s="36"/>
      <c r="F88" s="36"/>
      <c r="G88" s="36"/>
      <c r="H88" s="36"/>
      <c r="I88" s="36"/>
      <c r="J88" s="36"/>
      <c r="K88" s="38"/>
      <c r="L88" s="36"/>
      <c r="M88" s="36"/>
      <c r="N88" s="36"/>
      <c r="O88" s="36"/>
      <c r="P88" s="36"/>
      <c r="Q88" s="36"/>
      <c r="R88" s="36"/>
      <c r="S88" s="118"/>
      <c r="AN88" s="36"/>
    </row>
    <row r="89" spans="1:40" s="7" customFormat="1" hidden="1">
      <c r="A89" s="36"/>
      <c r="B89" s="36"/>
      <c r="C89" s="36"/>
      <c r="D89" s="36"/>
      <c r="E89" s="36"/>
      <c r="F89" s="36"/>
      <c r="G89" s="36"/>
      <c r="H89" s="36"/>
      <c r="I89" s="36"/>
      <c r="J89" s="36"/>
      <c r="K89" s="36"/>
      <c r="L89" s="36"/>
      <c r="M89" s="36"/>
      <c r="N89" s="36"/>
      <c r="O89" s="36"/>
      <c r="P89" s="36"/>
      <c r="Q89" s="36"/>
      <c r="R89" s="36"/>
      <c r="S89" s="36"/>
      <c r="AN89" s="36"/>
    </row>
    <row r="90" spans="1:40" s="7" customFormat="1" hidden="1">
      <c r="A90" s="36"/>
      <c r="B90" s="36"/>
      <c r="C90" s="36"/>
      <c r="D90" s="36"/>
      <c r="E90" s="36"/>
      <c r="F90" s="36"/>
      <c r="G90" s="36"/>
      <c r="H90" s="36"/>
      <c r="I90" s="36"/>
      <c r="J90" s="36"/>
      <c r="K90" s="36"/>
      <c r="L90" s="36"/>
      <c r="M90" s="36"/>
      <c r="N90" s="36"/>
      <c r="O90" s="36"/>
      <c r="P90" s="36"/>
      <c r="Q90" s="36"/>
      <c r="R90" s="36"/>
      <c r="S90" s="36"/>
      <c r="AN90" s="36"/>
    </row>
    <row r="91" spans="1:40" s="7" customFormat="1" hidden="1">
      <c r="A91" s="36"/>
      <c r="B91" s="36"/>
      <c r="C91" s="36"/>
      <c r="D91" s="36"/>
      <c r="E91" s="36"/>
      <c r="F91" s="36"/>
      <c r="G91" s="36"/>
      <c r="H91" s="36"/>
      <c r="I91" s="36"/>
      <c r="J91" s="36"/>
      <c r="K91" s="36"/>
      <c r="L91" s="36"/>
      <c r="M91" s="36"/>
      <c r="N91" s="36"/>
      <c r="O91" s="36"/>
      <c r="P91" s="36"/>
      <c r="Q91" s="36"/>
      <c r="R91" s="36"/>
      <c r="S91" s="36"/>
      <c r="AN91" s="36"/>
    </row>
    <row r="92" spans="1:40" hidden="1">
      <c r="C92" s="36"/>
      <c r="D92" s="36"/>
      <c r="E92" s="36"/>
      <c r="F92" s="36"/>
      <c r="G92" s="36"/>
      <c r="H92" s="36"/>
      <c r="I92" s="36"/>
      <c r="J92" s="36"/>
      <c r="K92" s="36"/>
      <c r="L92" s="36"/>
      <c r="M92" s="36"/>
      <c r="N92" s="36"/>
      <c r="O92" s="36"/>
      <c r="P92" s="36"/>
      <c r="Q92" s="36"/>
      <c r="R92" s="36"/>
      <c r="S92" s="36"/>
    </row>
    <row r="93" spans="1:40" hidden="1">
      <c r="C93" s="36"/>
      <c r="D93" s="36"/>
      <c r="E93" s="36"/>
      <c r="F93" s="36"/>
      <c r="G93" s="36"/>
      <c r="H93" s="36"/>
      <c r="I93" s="36"/>
      <c r="J93" s="36"/>
      <c r="K93" s="36"/>
      <c r="L93" s="36"/>
      <c r="M93" s="36"/>
      <c r="N93" s="36"/>
      <c r="O93" s="36"/>
      <c r="P93" s="36"/>
      <c r="Q93" s="36"/>
      <c r="R93" s="36"/>
      <c r="S93" s="36"/>
    </row>
    <row r="94" spans="1:40" hidden="1">
      <c r="C94" s="36"/>
      <c r="D94" s="36"/>
      <c r="E94" s="36"/>
      <c r="F94" s="36"/>
      <c r="G94" s="36"/>
      <c r="H94" s="36"/>
      <c r="I94" s="36"/>
      <c r="J94" s="36"/>
      <c r="K94" s="36"/>
      <c r="L94" s="36"/>
      <c r="M94" s="36"/>
      <c r="N94" s="36"/>
      <c r="O94" s="36"/>
      <c r="P94" s="36"/>
      <c r="Q94" s="36"/>
      <c r="R94" s="36"/>
      <c r="S94" s="36"/>
    </row>
    <row r="95" spans="1:40" hidden="1">
      <c r="C95" s="36"/>
      <c r="D95" s="36"/>
      <c r="E95" s="36"/>
      <c r="F95" s="36"/>
      <c r="G95" s="36"/>
      <c r="H95" s="36"/>
      <c r="I95" s="36"/>
      <c r="J95" s="36"/>
      <c r="K95" s="36"/>
      <c r="L95" s="36"/>
      <c r="M95" s="36"/>
      <c r="N95" s="36"/>
      <c r="O95" s="36"/>
      <c r="P95" s="36"/>
      <c r="Q95" s="36"/>
      <c r="R95" s="36"/>
      <c r="S95" s="36"/>
    </row>
    <row r="96" spans="1:40" hidden="1">
      <c r="C96" s="36"/>
      <c r="D96" s="36"/>
      <c r="E96" s="36"/>
      <c r="F96" s="36"/>
      <c r="G96" s="36"/>
      <c r="H96" s="36"/>
      <c r="I96" s="36"/>
      <c r="J96" s="36"/>
      <c r="K96" s="36"/>
      <c r="L96" s="36"/>
      <c r="M96" s="36"/>
      <c r="N96" s="36"/>
      <c r="O96" s="36"/>
      <c r="P96" s="36"/>
      <c r="Q96" s="36"/>
      <c r="R96" s="36"/>
      <c r="S96" s="36"/>
    </row>
    <row r="97" spans="3:19" hidden="1">
      <c r="C97" s="36"/>
      <c r="D97" s="36"/>
      <c r="E97" s="36"/>
      <c r="F97" s="36"/>
      <c r="G97" s="36"/>
      <c r="H97" s="36"/>
      <c r="I97" s="36"/>
      <c r="J97" s="36"/>
      <c r="K97" s="36"/>
      <c r="L97" s="36"/>
      <c r="M97" s="36"/>
      <c r="N97" s="36"/>
      <c r="O97" s="36"/>
      <c r="P97" s="36"/>
      <c r="Q97" s="36"/>
      <c r="R97" s="36"/>
      <c r="S97" s="36"/>
    </row>
    <row r="98" spans="3:19" hidden="1">
      <c r="C98" s="36"/>
      <c r="D98" s="36"/>
      <c r="E98" s="36"/>
      <c r="F98" s="36"/>
      <c r="G98" s="36"/>
      <c r="H98" s="36"/>
      <c r="I98" s="36"/>
      <c r="J98" s="36"/>
      <c r="K98" s="36"/>
      <c r="L98" s="36"/>
      <c r="M98" s="36"/>
      <c r="N98" s="36"/>
      <c r="O98" s="36"/>
      <c r="P98" s="36"/>
      <c r="Q98" s="36"/>
      <c r="R98" s="36"/>
      <c r="S98" s="36"/>
    </row>
    <row r="99" spans="3:19" hidden="1">
      <c r="C99" s="36"/>
      <c r="D99" s="36"/>
      <c r="E99" s="36"/>
      <c r="F99" s="36"/>
      <c r="G99" s="36"/>
      <c r="H99" s="36"/>
      <c r="I99" s="36"/>
      <c r="J99" s="36"/>
      <c r="K99" s="36"/>
      <c r="L99" s="36"/>
      <c r="M99" s="36"/>
      <c r="N99" s="36"/>
      <c r="O99" s="36"/>
      <c r="P99" s="36"/>
      <c r="Q99" s="36"/>
      <c r="R99" s="36"/>
      <c r="S99" s="36"/>
    </row>
    <row r="100" spans="3:19" hidden="1">
      <c r="C100" s="36"/>
      <c r="D100" s="36"/>
      <c r="E100" s="36"/>
      <c r="F100" s="36"/>
      <c r="G100" s="36"/>
      <c r="H100" s="36"/>
      <c r="I100" s="36"/>
      <c r="J100" s="36"/>
      <c r="K100" s="36"/>
      <c r="L100" s="36"/>
      <c r="M100" s="36"/>
      <c r="N100" s="36"/>
      <c r="O100" s="36"/>
      <c r="P100" s="36"/>
      <c r="Q100" s="36"/>
      <c r="R100" s="36"/>
      <c r="S100" s="36"/>
    </row>
    <row r="101" spans="3:19" hidden="1">
      <c r="C101" s="36"/>
      <c r="D101" s="36"/>
      <c r="E101" s="36"/>
      <c r="F101" s="36"/>
      <c r="G101" s="36"/>
      <c r="H101" s="36"/>
      <c r="I101" s="36"/>
      <c r="J101" s="36"/>
      <c r="K101" s="36"/>
      <c r="L101" s="36"/>
      <c r="M101" s="36"/>
      <c r="N101" s="36"/>
      <c r="O101" s="36"/>
      <c r="P101" s="36"/>
      <c r="Q101" s="36"/>
      <c r="R101" s="36"/>
      <c r="S101" s="36"/>
    </row>
    <row r="102" spans="3:19" hidden="1">
      <c r="C102" s="36"/>
      <c r="D102" s="36"/>
      <c r="E102" s="36"/>
      <c r="F102" s="36"/>
      <c r="G102" s="36"/>
      <c r="H102" s="36"/>
      <c r="I102" s="36"/>
      <c r="J102" s="36"/>
      <c r="K102" s="36"/>
      <c r="L102" s="36"/>
      <c r="M102" s="36"/>
      <c r="N102" s="36"/>
      <c r="O102" s="36"/>
      <c r="P102" s="36"/>
      <c r="Q102" s="36"/>
      <c r="R102" s="36"/>
      <c r="S102" s="36"/>
    </row>
    <row r="103" spans="3:19" hidden="1">
      <c r="C103" s="36"/>
      <c r="D103" s="36"/>
      <c r="E103" s="36"/>
      <c r="F103" s="36"/>
      <c r="G103" s="36"/>
      <c r="H103" s="36"/>
      <c r="I103" s="36"/>
      <c r="J103" s="36"/>
      <c r="K103" s="36"/>
      <c r="L103" s="36"/>
      <c r="M103" s="36"/>
      <c r="N103" s="36"/>
      <c r="O103" s="36"/>
      <c r="P103" s="36"/>
      <c r="Q103" s="36"/>
      <c r="R103" s="36"/>
      <c r="S103" s="36"/>
    </row>
    <row r="104" spans="3:19" hidden="1">
      <c r="C104" s="36"/>
      <c r="D104" s="36"/>
      <c r="E104" s="36"/>
      <c r="F104" s="36"/>
      <c r="G104" s="36"/>
      <c r="H104" s="36"/>
      <c r="I104" s="36"/>
      <c r="J104" s="36"/>
      <c r="K104" s="36"/>
      <c r="L104" s="36"/>
      <c r="M104" s="36"/>
      <c r="N104" s="36"/>
      <c r="O104" s="36"/>
      <c r="P104" s="36"/>
      <c r="Q104" s="36"/>
      <c r="R104" s="36"/>
      <c r="S104" s="36"/>
    </row>
    <row r="105" spans="3:19" hidden="1">
      <c r="C105" s="36"/>
      <c r="D105" s="36"/>
      <c r="E105" s="36"/>
      <c r="F105" s="36"/>
      <c r="G105" s="36"/>
      <c r="H105" s="36"/>
      <c r="I105" s="36"/>
      <c r="J105" s="36"/>
      <c r="K105" s="36"/>
      <c r="L105" s="36"/>
      <c r="M105" s="36"/>
      <c r="N105" s="36"/>
      <c r="O105" s="36"/>
      <c r="P105" s="36"/>
      <c r="Q105" s="36"/>
      <c r="R105" s="36"/>
      <c r="S105" s="36"/>
    </row>
    <row r="106" spans="3:19" hidden="1">
      <c r="C106" s="36"/>
      <c r="D106" s="36"/>
      <c r="E106" s="36"/>
      <c r="F106" s="36"/>
      <c r="G106" s="36"/>
      <c r="H106" s="36"/>
      <c r="I106" s="36"/>
      <c r="J106" s="36"/>
      <c r="K106" s="36"/>
      <c r="L106" s="36"/>
      <c r="M106" s="36"/>
      <c r="N106" s="36"/>
      <c r="O106" s="36"/>
      <c r="P106" s="36"/>
      <c r="Q106" s="36"/>
      <c r="R106" s="36"/>
      <c r="S106" s="36"/>
    </row>
    <row r="107" spans="3:19" hidden="1">
      <c r="C107" s="36"/>
      <c r="D107" s="36"/>
      <c r="E107" s="36"/>
      <c r="F107" s="36"/>
      <c r="G107" s="36"/>
      <c r="H107" s="36"/>
      <c r="I107" s="36"/>
      <c r="J107" s="36"/>
      <c r="K107" s="36"/>
      <c r="L107" s="36"/>
      <c r="M107" s="36"/>
      <c r="N107" s="36"/>
      <c r="O107" s="36"/>
      <c r="P107" s="36"/>
      <c r="Q107" s="36"/>
      <c r="R107" s="36"/>
      <c r="S107" s="36"/>
    </row>
    <row r="108" spans="3:19" hidden="1">
      <c r="C108" s="36"/>
      <c r="D108" s="36"/>
      <c r="E108" s="36"/>
      <c r="F108" s="36"/>
      <c r="G108" s="36"/>
      <c r="H108" s="36"/>
      <c r="I108" s="36"/>
      <c r="J108" s="36"/>
      <c r="K108" s="36"/>
      <c r="L108" s="36"/>
      <c r="M108" s="36"/>
      <c r="N108" s="36"/>
      <c r="O108" s="36"/>
      <c r="P108" s="36"/>
      <c r="Q108" s="36"/>
      <c r="R108" s="36"/>
      <c r="S108" s="36"/>
    </row>
    <row r="109" spans="3:19" hidden="1">
      <c r="C109" s="36"/>
      <c r="D109" s="36"/>
      <c r="E109" s="36"/>
      <c r="F109" s="36"/>
      <c r="G109" s="36"/>
      <c r="H109" s="36"/>
      <c r="I109" s="36"/>
      <c r="J109" s="36"/>
      <c r="K109" s="36"/>
      <c r="L109" s="36"/>
      <c r="M109" s="36"/>
      <c r="N109" s="36"/>
      <c r="O109" s="36"/>
      <c r="P109" s="36"/>
      <c r="Q109" s="36"/>
      <c r="R109" s="36"/>
      <c r="S109" s="36"/>
    </row>
    <row r="110" spans="3:19" hidden="1">
      <c r="C110" s="36"/>
      <c r="D110" s="36"/>
      <c r="E110" s="36"/>
      <c r="F110" s="36"/>
      <c r="G110" s="36"/>
      <c r="H110" s="36"/>
      <c r="I110" s="36"/>
      <c r="J110" s="36"/>
      <c r="K110" s="36"/>
      <c r="L110" s="36"/>
      <c r="M110" s="36"/>
      <c r="N110" s="36"/>
      <c r="O110" s="36"/>
      <c r="P110" s="36"/>
      <c r="Q110" s="36"/>
      <c r="R110" s="36"/>
      <c r="S110" s="36"/>
    </row>
    <row r="111" spans="3:19" hidden="1">
      <c r="C111" s="36"/>
      <c r="D111" s="36"/>
      <c r="E111" s="36"/>
      <c r="F111" s="36"/>
      <c r="G111" s="36"/>
      <c r="H111" s="36"/>
      <c r="I111" s="36"/>
      <c r="J111" s="36"/>
      <c r="K111" s="36"/>
      <c r="L111" s="36"/>
      <c r="M111" s="36"/>
      <c r="N111" s="36"/>
      <c r="O111" s="36"/>
      <c r="P111" s="36"/>
      <c r="Q111" s="36"/>
      <c r="R111" s="36"/>
      <c r="S111" s="36"/>
    </row>
    <row r="112" spans="3:19" hidden="1">
      <c r="C112" s="36"/>
      <c r="D112" s="36"/>
      <c r="E112" s="36"/>
      <c r="F112" s="36"/>
      <c r="G112" s="36"/>
      <c r="H112" s="36"/>
      <c r="I112" s="36"/>
      <c r="J112" s="36"/>
      <c r="K112" s="36"/>
      <c r="L112" s="36"/>
      <c r="M112" s="36"/>
      <c r="N112" s="36"/>
      <c r="O112" s="36"/>
      <c r="P112" s="36"/>
      <c r="Q112" s="36"/>
      <c r="R112" s="36"/>
      <c r="S112" s="36"/>
    </row>
    <row r="113" spans="1:40" hidden="1"/>
    <row r="114" spans="1:40" hidden="1"/>
    <row r="115" spans="1:40" hidden="1"/>
    <row r="116" spans="1:40" hidden="1"/>
    <row r="117" spans="1:40" hidden="1"/>
    <row r="118" spans="1:40" s="7" customFormat="1" hidden="1">
      <c r="A118" s="36"/>
      <c r="B118" s="36"/>
      <c r="C118" s="35"/>
      <c r="D118" s="35"/>
      <c r="E118" s="35"/>
      <c r="F118" s="35"/>
      <c r="G118" s="35"/>
      <c r="H118" s="35"/>
      <c r="I118" s="35"/>
      <c r="J118" s="35"/>
      <c r="K118" s="35"/>
      <c r="L118" s="35"/>
      <c r="M118" s="35"/>
      <c r="N118" s="35"/>
      <c r="O118" s="35"/>
      <c r="P118" s="35"/>
      <c r="Q118" s="35"/>
      <c r="R118" s="35"/>
      <c r="S118" s="35"/>
      <c r="AN118" s="36"/>
    </row>
    <row r="119" spans="1:40" hidden="1"/>
    <row r="120" spans="1:40" hidden="1"/>
    <row r="121" spans="1:40" hidden="1"/>
    <row r="122" spans="1:40" hidden="1"/>
    <row r="123" spans="1:40" hidden="1"/>
    <row r="124" spans="1:40" hidden="1"/>
    <row r="125" spans="1:40" hidden="1"/>
    <row r="126" spans="1:40" hidden="1"/>
  </sheetData>
  <printOptions horizontalCentered="1"/>
  <pageMargins left="0.7" right="0.7" top="0.75" bottom="0.75" header="0.3" footer="0.3"/>
  <pageSetup scale="47" fitToWidth="2" orientation="landscape" r:id="rId1"/>
  <headerFooter scaleWithDoc="0">
    <oddFooter xml:space="preserve">&amp;L&amp;"Arial,Regular"&amp;7Port Concession Evaluation Model&amp;R&amp;"Arial,Regular"&amp;7Copyright Public Financial Management, Inc. </oddFooter>
  </headerFooter>
  <colBreaks count="1" manualBreakCount="1">
    <brk id="10" min="1" max="5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tint="0.59999389629810485"/>
    <pageSetUpPr autoPageBreaks="0" fitToPage="1"/>
  </sheetPr>
  <dimension ref="C2:N60"/>
  <sheetViews>
    <sheetView tabSelected="1" zoomScaleNormal="100" workbookViewId="0">
      <selection activeCell="B1" sqref="B1"/>
    </sheetView>
  </sheetViews>
  <sheetFormatPr defaultColWidth="9.375" defaultRowHeight="13.2"/>
  <cols>
    <col min="1" max="2" width="9.375" style="18"/>
    <col min="3" max="3" width="11.5" style="18" customWidth="1"/>
    <col min="4" max="4" width="14.875" style="18" bestFit="1" customWidth="1"/>
    <col min="5" max="5" width="14.875" style="18" customWidth="1"/>
    <col min="6" max="6" width="17.125" style="18" customWidth="1"/>
    <col min="7" max="7" width="21" style="18" customWidth="1"/>
    <col min="8" max="8" width="22.125" style="18" customWidth="1"/>
    <col min="9" max="9" width="21.125" style="18" bestFit="1" customWidth="1"/>
    <col min="10" max="10" width="9.375" style="18"/>
    <col min="11" max="11" width="15.875" style="18" customWidth="1"/>
    <col min="12" max="12" width="23" style="18" customWidth="1"/>
    <col min="13" max="13" width="22.125" style="18" customWidth="1"/>
    <col min="14" max="16384" width="9.375" style="18"/>
  </cols>
  <sheetData>
    <row r="2" spans="3:14" ht="18" customHeight="1">
      <c r="C2" s="267" t="s">
        <v>131</v>
      </c>
      <c r="D2" s="267"/>
      <c r="E2" s="267"/>
      <c r="F2" s="267"/>
      <c r="G2" s="267"/>
      <c r="H2" s="267"/>
      <c r="I2" s="267"/>
    </row>
    <row r="3" spans="3:14" ht="6.75" customHeight="1">
      <c r="C3" s="19"/>
      <c r="D3" s="19"/>
      <c r="E3" s="19"/>
      <c r="F3" s="19"/>
      <c r="G3" s="19"/>
      <c r="H3" s="217"/>
      <c r="I3" s="217"/>
    </row>
    <row r="4" spans="3:14" ht="24">
      <c r="C4" s="230"/>
      <c r="D4" s="21" t="s">
        <v>12</v>
      </c>
      <c r="E4" s="21" t="s">
        <v>13</v>
      </c>
      <c r="F4" s="21" t="s">
        <v>14</v>
      </c>
      <c r="G4" s="22" t="s">
        <v>15</v>
      </c>
      <c r="J4" s="142"/>
      <c r="K4" s="142"/>
      <c r="L4" s="142"/>
      <c r="M4" s="142"/>
      <c r="N4" s="142"/>
    </row>
    <row r="5" spans="3:14">
      <c r="C5" s="231" t="s">
        <v>16</v>
      </c>
      <c r="D5" s="24">
        <f>'II. S&amp;U'!H16</f>
        <v>78000000</v>
      </c>
      <c r="E5" s="25" t="s">
        <v>17</v>
      </c>
      <c r="F5" s="26">
        <v>1.5</v>
      </c>
      <c r="G5" s="27">
        <v>30</v>
      </c>
      <c r="J5" s="142"/>
      <c r="K5" s="142"/>
      <c r="L5" s="142"/>
      <c r="M5" s="142"/>
      <c r="N5" s="142"/>
    </row>
    <row r="6" spans="3:14">
      <c r="D6" s="28"/>
      <c r="E6" s="28"/>
      <c r="F6" s="28"/>
      <c r="J6" s="142"/>
      <c r="K6" s="142"/>
      <c r="L6" s="142"/>
      <c r="M6" s="142"/>
      <c r="N6" s="142"/>
    </row>
    <row r="7" spans="3:14">
      <c r="D7" s="28"/>
      <c r="E7" s="28"/>
      <c r="F7" s="28"/>
      <c r="J7" s="142"/>
      <c r="K7" s="142"/>
      <c r="L7" s="142"/>
      <c r="M7" s="142"/>
      <c r="N7" s="142"/>
    </row>
    <row r="8" spans="3:14">
      <c r="J8" s="142"/>
      <c r="K8" s="142"/>
      <c r="L8" s="142"/>
      <c r="M8" s="142"/>
      <c r="N8" s="142"/>
    </row>
    <row r="9" spans="3:14" ht="24">
      <c r="C9" s="20" t="s">
        <v>0</v>
      </c>
      <c r="D9" s="21" t="s">
        <v>8</v>
      </c>
      <c r="E9" s="21" t="s">
        <v>18</v>
      </c>
      <c r="F9" s="22" t="s">
        <v>19</v>
      </c>
      <c r="J9" s="142"/>
      <c r="K9" s="142"/>
      <c r="L9" s="142"/>
      <c r="M9" s="142"/>
      <c r="N9" s="142"/>
    </row>
    <row r="10" spans="3:14">
      <c r="C10" s="30"/>
      <c r="D10" s="228"/>
      <c r="E10" s="229"/>
      <c r="F10" s="31">
        <f>D5</f>
        <v>78000000</v>
      </c>
      <c r="J10" s="142"/>
      <c r="K10" s="142"/>
      <c r="L10" s="142"/>
      <c r="M10" s="142"/>
      <c r="N10" s="142"/>
    </row>
    <row r="11" spans="3:14">
      <c r="C11" s="226">
        <f>YEAR('I. Assumptions'!E24)+1</f>
        <v>2019</v>
      </c>
      <c r="D11" s="229">
        <v>30</v>
      </c>
      <c r="E11" s="23">
        <f>IF(-F10/D11*$F$5+F10&lt;0, F10, F10/D11*$F$5)</f>
        <v>3900000</v>
      </c>
      <c r="F11" s="31">
        <f>F10-E11</f>
        <v>74100000</v>
      </c>
      <c r="J11" s="142"/>
      <c r="K11" s="142"/>
      <c r="L11" s="142"/>
      <c r="M11" s="142"/>
      <c r="N11" s="142"/>
    </row>
    <row r="12" spans="3:14">
      <c r="C12" s="30">
        <f>C11+1</f>
        <v>2020</v>
      </c>
      <c r="D12" s="229">
        <f>D11-1</f>
        <v>29</v>
      </c>
      <c r="E12" s="23">
        <f t="shared" ref="E12:E40" si="0">IF(-F11/D12*$F$5+F11&lt;0, F11, F11/D12*$F$5)</f>
        <v>3832758.6206896547</v>
      </c>
      <c r="F12" s="31">
        <f t="shared" ref="F12:F40" si="1">F11-E12</f>
        <v>70267241.37931034</v>
      </c>
      <c r="J12" s="142"/>
      <c r="K12" s="142"/>
      <c r="L12" s="142"/>
      <c r="M12" s="142"/>
      <c r="N12" s="142"/>
    </row>
    <row r="13" spans="3:14">
      <c r="C13" s="30">
        <f t="shared" ref="C13:C40" si="2">C12+1</f>
        <v>2021</v>
      </c>
      <c r="D13" s="229">
        <f t="shared" ref="D13:D40" si="3">D12-1</f>
        <v>28</v>
      </c>
      <c r="E13" s="23">
        <f t="shared" si="0"/>
        <v>3764316.5024630539</v>
      </c>
      <c r="F13" s="31">
        <f t="shared" si="1"/>
        <v>66502924.876847282</v>
      </c>
      <c r="J13" s="142"/>
      <c r="K13" s="142"/>
      <c r="L13" s="142"/>
      <c r="M13" s="142"/>
      <c r="N13" s="142"/>
    </row>
    <row r="14" spans="3:14">
      <c r="C14" s="30">
        <f t="shared" si="2"/>
        <v>2022</v>
      </c>
      <c r="D14" s="229">
        <f t="shared" si="3"/>
        <v>27</v>
      </c>
      <c r="E14" s="23">
        <f t="shared" si="0"/>
        <v>3694606.9376026271</v>
      </c>
      <c r="F14" s="31">
        <f t="shared" si="1"/>
        <v>62808317.939244658</v>
      </c>
      <c r="J14" s="142"/>
      <c r="K14" s="142"/>
      <c r="L14" s="142"/>
      <c r="M14" s="142"/>
      <c r="N14" s="142"/>
    </row>
    <row r="15" spans="3:14">
      <c r="C15" s="30">
        <f t="shared" si="2"/>
        <v>2023</v>
      </c>
      <c r="D15" s="229">
        <f t="shared" si="3"/>
        <v>26</v>
      </c>
      <c r="E15" s="23">
        <f t="shared" si="0"/>
        <v>3623556.8041871921</v>
      </c>
      <c r="F15" s="31">
        <f t="shared" si="1"/>
        <v>59184761.135057464</v>
      </c>
      <c r="J15" s="142"/>
      <c r="K15" s="142"/>
      <c r="L15" s="142"/>
      <c r="M15" s="142"/>
      <c r="N15" s="142"/>
    </row>
    <row r="16" spans="3:14">
      <c r="C16" s="30">
        <f t="shared" si="2"/>
        <v>2024</v>
      </c>
      <c r="D16" s="229">
        <f t="shared" si="3"/>
        <v>25</v>
      </c>
      <c r="E16" s="23">
        <f t="shared" si="0"/>
        <v>3551085.6681034481</v>
      </c>
      <c r="F16" s="31">
        <f t="shared" si="1"/>
        <v>55633675.466954015</v>
      </c>
      <c r="J16" s="142"/>
      <c r="K16" s="142"/>
      <c r="L16" s="142"/>
      <c r="M16" s="142"/>
      <c r="N16" s="142"/>
    </row>
    <row r="17" spans="3:14">
      <c r="C17" s="30">
        <f t="shared" si="2"/>
        <v>2025</v>
      </c>
      <c r="D17" s="229">
        <f t="shared" si="3"/>
        <v>24</v>
      </c>
      <c r="E17" s="23">
        <f t="shared" si="0"/>
        <v>3477104.7166846255</v>
      </c>
      <c r="F17" s="31">
        <f t="shared" si="1"/>
        <v>52156570.750269391</v>
      </c>
      <c r="J17" s="142"/>
      <c r="K17" s="142"/>
      <c r="L17" s="142"/>
      <c r="M17" s="142"/>
      <c r="N17" s="142"/>
    </row>
    <row r="18" spans="3:14">
      <c r="C18" s="30">
        <f t="shared" si="2"/>
        <v>2026</v>
      </c>
      <c r="D18" s="229">
        <f t="shared" si="3"/>
        <v>23</v>
      </c>
      <c r="E18" s="23">
        <f t="shared" si="0"/>
        <v>3401515.4837132208</v>
      </c>
      <c r="F18" s="31">
        <f t="shared" si="1"/>
        <v>48755055.266556174</v>
      </c>
      <c r="J18" s="142"/>
      <c r="K18" s="142"/>
      <c r="L18" s="142"/>
      <c r="M18" s="142"/>
      <c r="N18" s="142"/>
    </row>
    <row r="19" spans="3:14">
      <c r="C19" s="30">
        <f t="shared" si="2"/>
        <v>2027</v>
      </c>
      <c r="D19" s="229">
        <f t="shared" si="3"/>
        <v>22</v>
      </c>
      <c r="E19" s="23">
        <f t="shared" si="0"/>
        <v>3324208.31362883</v>
      </c>
      <c r="F19" s="31">
        <f t="shared" si="1"/>
        <v>45430846.952927344</v>
      </c>
      <c r="J19" s="142"/>
      <c r="K19" s="142"/>
      <c r="L19" s="142"/>
      <c r="M19" s="142"/>
      <c r="N19" s="142"/>
    </row>
    <row r="20" spans="3:14">
      <c r="C20" s="30">
        <f t="shared" si="2"/>
        <v>2028</v>
      </c>
      <c r="D20" s="229">
        <f t="shared" si="3"/>
        <v>21</v>
      </c>
      <c r="E20" s="23">
        <f t="shared" si="0"/>
        <v>3245060.4966376671</v>
      </c>
      <c r="F20" s="31">
        <f t="shared" si="1"/>
        <v>42185786.456289679</v>
      </c>
      <c r="J20" s="142"/>
      <c r="K20" s="142"/>
      <c r="L20" s="142"/>
      <c r="M20" s="142"/>
      <c r="N20" s="142"/>
    </row>
    <row r="21" spans="3:14">
      <c r="C21" s="30">
        <f t="shared" si="2"/>
        <v>2029</v>
      </c>
      <c r="D21" s="229">
        <f t="shared" si="3"/>
        <v>20</v>
      </c>
      <c r="E21" s="23">
        <f t="shared" si="0"/>
        <v>3163933.9842217262</v>
      </c>
      <c r="F21" s="31">
        <f t="shared" si="1"/>
        <v>39021852.472067952</v>
      </c>
      <c r="J21" s="142"/>
      <c r="K21" s="142"/>
      <c r="L21" s="142"/>
      <c r="M21" s="142"/>
      <c r="N21" s="142"/>
    </row>
    <row r="22" spans="3:14">
      <c r="C22" s="30">
        <f t="shared" si="2"/>
        <v>2030</v>
      </c>
      <c r="D22" s="229">
        <f t="shared" si="3"/>
        <v>19</v>
      </c>
      <c r="E22" s="23">
        <f t="shared" si="0"/>
        <v>3080672.5635843119</v>
      </c>
      <c r="F22" s="31">
        <f t="shared" si="1"/>
        <v>35941179.908483639</v>
      </c>
      <c r="J22" s="142"/>
      <c r="K22" s="142"/>
      <c r="L22" s="142"/>
      <c r="M22" s="142"/>
      <c r="N22" s="142"/>
    </row>
    <row r="23" spans="3:14">
      <c r="C23" s="30">
        <f t="shared" si="2"/>
        <v>2031</v>
      </c>
      <c r="D23" s="229">
        <f t="shared" si="3"/>
        <v>18</v>
      </c>
      <c r="E23" s="23">
        <f t="shared" si="0"/>
        <v>2995098.3257069699</v>
      </c>
      <c r="F23" s="31">
        <f t="shared" si="1"/>
        <v>32946081.582776669</v>
      </c>
      <c r="J23" s="142"/>
      <c r="K23" s="142"/>
      <c r="L23" s="142"/>
      <c r="M23" s="142"/>
      <c r="N23" s="142"/>
    </row>
    <row r="24" spans="3:14">
      <c r="C24" s="30">
        <f t="shared" si="2"/>
        <v>2032</v>
      </c>
      <c r="D24" s="229">
        <f t="shared" si="3"/>
        <v>17</v>
      </c>
      <c r="E24" s="23">
        <f t="shared" si="0"/>
        <v>2907007.1984802941</v>
      </c>
      <c r="F24" s="31">
        <f t="shared" si="1"/>
        <v>30039074.384296376</v>
      </c>
      <c r="J24" s="142"/>
      <c r="K24" s="142"/>
      <c r="L24" s="142"/>
      <c r="M24" s="142"/>
      <c r="N24" s="142"/>
    </row>
    <row r="25" spans="3:14">
      <c r="C25" s="30">
        <f t="shared" si="2"/>
        <v>2033</v>
      </c>
      <c r="D25" s="229">
        <f t="shared" si="3"/>
        <v>16</v>
      </c>
      <c r="E25" s="23">
        <f t="shared" si="0"/>
        <v>2816163.2235277854</v>
      </c>
      <c r="F25" s="31">
        <f t="shared" si="1"/>
        <v>27222911.160768591</v>
      </c>
      <c r="J25" s="142"/>
      <c r="K25" s="142"/>
      <c r="L25" s="142"/>
      <c r="M25" s="142"/>
      <c r="N25" s="142"/>
    </row>
    <row r="26" spans="3:14">
      <c r="C26" s="30">
        <f t="shared" si="2"/>
        <v>2034</v>
      </c>
      <c r="D26" s="229">
        <f t="shared" si="3"/>
        <v>15</v>
      </c>
      <c r="E26" s="23">
        <f t="shared" si="0"/>
        <v>2722291.1160768592</v>
      </c>
      <c r="F26" s="31">
        <f t="shared" si="1"/>
        <v>24500620.04469173</v>
      </c>
      <c r="J26" s="142"/>
      <c r="K26" s="142"/>
      <c r="L26" s="142"/>
      <c r="M26" s="142"/>
      <c r="N26" s="142"/>
    </row>
    <row r="27" spans="3:14">
      <c r="C27" s="30">
        <f t="shared" si="2"/>
        <v>2035</v>
      </c>
      <c r="D27" s="229">
        <f t="shared" si="3"/>
        <v>14</v>
      </c>
      <c r="E27" s="23">
        <f t="shared" si="0"/>
        <v>2625066.4333598283</v>
      </c>
      <c r="F27" s="31">
        <f t="shared" si="1"/>
        <v>21875553.611331902</v>
      </c>
      <c r="J27" s="142"/>
      <c r="K27" s="142"/>
      <c r="L27" s="142"/>
      <c r="M27" s="142"/>
      <c r="N27" s="142"/>
    </row>
    <row r="28" spans="3:14">
      <c r="C28" s="30">
        <f t="shared" si="2"/>
        <v>2036</v>
      </c>
      <c r="D28" s="229">
        <f t="shared" si="3"/>
        <v>13</v>
      </c>
      <c r="E28" s="23">
        <f t="shared" si="0"/>
        <v>2524102.3397690654</v>
      </c>
      <c r="F28" s="31">
        <f t="shared" si="1"/>
        <v>19351451.271562837</v>
      </c>
      <c r="J28" s="142"/>
      <c r="K28" s="142"/>
      <c r="L28" s="142"/>
      <c r="M28" s="142"/>
      <c r="N28" s="142"/>
    </row>
    <row r="29" spans="3:14">
      <c r="C29" s="30">
        <f t="shared" si="2"/>
        <v>2037</v>
      </c>
      <c r="D29" s="229">
        <f t="shared" si="3"/>
        <v>12</v>
      </c>
      <c r="E29" s="23">
        <f t="shared" si="0"/>
        <v>2418931.4089453546</v>
      </c>
      <c r="F29" s="31">
        <f t="shared" si="1"/>
        <v>16932519.862617481</v>
      </c>
      <c r="J29" s="142"/>
      <c r="K29" s="142"/>
      <c r="L29" s="142"/>
      <c r="M29" s="142"/>
      <c r="N29" s="142"/>
    </row>
    <row r="30" spans="3:14">
      <c r="C30" s="30">
        <f t="shared" si="2"/>
        <v>2038</v>
      </c>
      <c r="D30" s="229">
        <f t="shared" si="3"/>
        <v>11</v>
      </c>
      <c r="E30" s="23">
        <f t="shared" si="0"/>
        <v>2308979.9812660203</v>
      </c>
      <c r="F30" s="31">
        <f t="shared" si="1"/>
        <v>14623539.881351462</v>
      </c>
      <c r="J30" s="142"/>
      <c r="K30" s="142"/>
      <c r="L30" s="142"/>
      <c r="M30" s="142"/>
      <c r="N30" s="142"/>
    </row>
    <row r="31" spans="3:14">
      <c r="C31" s="30">
        <f t="shared" si="2"/>
        <v>2039</v>
      </c>
      <c r="D31" s="229">
        <f t="shared" si="3"/>
        <v>10</v>
      </c>
      <c r="E31" s="23">
        <f t="shared" si="0"/>
        <v>2193530.9822027194</v>
      </c>
      <c r="F31" s="31">
        <f t="shared" si="1"/>
        <v>12430008.899148742</v>
      </c>
      <c r="J31" s="142"/>
      <c r="K31" s="142"/>
      <c r="L31" s="142"/>
      <c r="M31" s="142"/>
      <c r="N31" s="142"/>
    </row>
    <row r="32" spans="3:14">
      <c r="C32" s="30">
        <f t="shared" si="2"/>
        <v>2040</v>
      </c>
      <c r="D32" s="229">
        <f t="shared" si="3"/>
        <v>9</v>
      </c>
      <c r="E32" s="23">
        <f t="shared" si="0"/>
        <v>2071668.1498581236</v>
      </c>
      <c r="F32" s="31">
        <f t="shared" si="1"/>
        <v>10358340.749290619</v>
      </c>
      <c r="J32" s="142"/>
      <c r="K32" s="142"/>
      <c r="L32" s="142"/>
      <c r="M32" s="142"/>
      <c r="N32" s="142"/>
    </row>
    <row r="33" spans="3:14">
      <c r="C33" s="30">
        <f t="shared" si="2"/>
        <v>2041</v>
      </c>
      <c r="D33" s="229">
        <f t="shared" si="3"/>
        <v>8</v>
      </c>
      <c r="E33" s="23">
        <f t="shared" si="0"/>
        <v>1942188.8904919911</v>
      </c>
      <c r="F33" s="31">
        <f t="shared" si="1"/>
        <v>8416151.8587986287</v>
      </c>
      <c r="J33" s="142"/>
      <c r="K33" s="142"/>
      <c r="L33" s="142"/>
      <c r="M33" s="142"/>
      <c r="N33" s="142"/>
    </row>
    <row r="34" spans="3:14">
      <c r="C34" s="30">
        <f t="shared" si="2"/>
        <v>2042</v>
      </c>
      <c r="D34" s="229">
        <f t="shared" si="3"/>
        <v>7</v>
      </c>
      <c r="E34" s="23">
        <f t="shared" si="0"/>
        <v>1803461.112599706</v>
      </c>
      <c r="F34" s="31">
        <f t="shared" si="1"/>
        <v>6612690.7461989224</v>
      </c>
      <c r="J34" s="142"/>
      <c r="K34" s="142"/>
      <c r="L34" s="142"/>
      <c r="M34" s="142"/>
      <c r="N34" s="142"/>
    </row>
    <row r="35" spans="3:14">
      <c r="C35" s="30">
        <f t="shared" si="2"/>
        <v>2043</v>
      </c>
      <c r="D35" s="229">
        <f t="shared" si="3"/>
        <v>6</v>
      </c>
      <c r="E35" s="23">
        <f t="shared" si="0"/>
        <v>1653172.6865497306</v>
      </c>
      <c r="F35" s="31">
        <f t="shared" si="1"/>
        <v>4959518.0596491918</v>
      </c>
      <c r="J35" s="142"/>
      <c r="K35" s="142"/>
      <c r="L35" s="142"/>
      <c r="M35" s="142"/>
      <c r="N35" s="142"/>
    </row>
    <row r="36" spans="3:14">
      <c r="C36" s="30">
        <f t="shared" si="2"/>
        <v>2044</v>
      </c>
      <c r="D36" s="229">
        <f t="shared" si="3"/>
        <v>5</v>
      </c>
      <c r="E36" s="23">
        <f t="shared" si="0"/>
        <v>1487855.4178947574</v>
      </c>
      <c r="F36" s="31">
        <f t="shared" si="1"/>
        <v>3471662.6417544344</v>
      </c>
      <c r="J36" s="142"/>
      <c r="K36" s="142"/>
      <c r="L36" s="142"/>
      <c r="M36" s="142"/>
      <c r="N36" s="142"/>
    </row>
    <row r="37" spans="3:14">
      <c r="C37" s="30">
        <f t="shared" si="2"/>
        <v>2045</v>
      </c>
      <c r="D37" s="229">
        <f t="shared" si="3"/>
        <v>4</v>
      </c>
      <c r="E37" s="23">
        <f t="shared" si="0"/>
        <v>1301873.490657913</v>
      </c>
      <c r="F37" s="31">
        <f t="shared" si="1"/>
        <v>2169789.1510965214</v>
      </c>
      <c r="J37" s="142"/>
      <c r="K37" s="142"/>
      <c r="L37" s="142"/>
      <c r="M37" s="142"/>
      <c r="N37" s="142"/>
    </row>
    <row r="38" spans="3:14">
      <c r="C38" s="30">
        <f t="shared" si="2"/>
        <v>2046</v>
      </c>
      <c r="D38" s="229">
        <f t="shared" si="3"/>
        <v>3</v>
      </c>
      <c r="E38" s="23">
        <f t="shared" si="0"/>
        <v>1084894.5755482607</v>
      </c>
      <c r="F38" s="31">
        <f t="shared" si="1"/>
        <v>1084894.5755482607</v>
      </c>
      <c r="J38" s="142"/>
      <c r="K38" s="142"/>
      <c r="L38" s="142"/>
      <c r="M38" s="142"/>
      <c r="N38" s="142"/>
    </row>
    <row r="39" spans="3:14">
      <c r="C39" s="30">
        <f t="shared" si="2"/>
        <v>2047</v>
      </c>
      <c r="D39" s="229">
        <f t="shared" si="3"/>
        <v>2</v>
      </c>
      <c r="E39" s="23">
        <f t="shared" si="0"/>
        <v>813670.93166119559</v>
      </c>
      <c r="F39" s="31">
        <f t="shared" si="1"/>
        <v>271223.64388706512</v>
      </c>
      <c r="J39" s="142"/>
      <c r="K39" s="142"/>
      <c r="L39" s="142"/>
      <c r="M39" s="142"/>
      <c r="N39" s="142"/>
    </row>
    <row r="40" spans="3:14">
      <c r="C40" s="32">
        <f t="shared" si="2"/>
        <v>2048</v>
      </c>
      <c r="D40" s="25">
        <f t="shared" si="3"/>
        <v>1</v>
      </c>
      <c r="E40" s="33">
        <f t="shared" si="0"/>
        <v>271223.64388706512</v>
      </c>
      <c r="F40" s="34">
        <f t="shared" si="1"/>
        <v>0</v>
      </c>
      <c r="J40" s="142"/>
      <c r="K40" s="142"/>
      <c r="L40" s="142"/>
      <c r="M40" s="142"/>
      <c r="N40" s="142"/>
    </row>
    <row r="41" spans="3:14" hidden="1">
      <c r="C41" s="30">
        <v>31</v>
      </c>
      <c r="E41" s="23">
        <f t="shared" ref="E41:E58" si="4">-L41</f>
        <v>0</v>
      </c>
      <c r="F41" s="31"/>
      <c r="J41" s="142"/>
      <c r="K41" s="142"/>
      <c r="L41" s="142"/>
      <c r="M41" s="142"/>
      <c r="N41" s="142"/>
    </row>
    <row r="42" spans="3:14" hidden="1">
      <c r="C42" s="30">
        <v>32</v>
      </c>
      <c r="E42" s="23">
        <f t="shared" si="4"/>
        <v>0</v>
      </c>
      <c r="F42" s="31"/>
      <c r="J42" s="142"/>
      <c r="K42" s="142"/>
      <c r="L42" s="142"/>
      <c r="M42" s="142"/>
      <c r="N42" s="142"/>
    </row>
    <row r="43" spans="3:14" hidden="1">
      <c r="C43" s="30">
        <v>33</v>
      </c>
      <c r="E43" s="23">
        <f t="shared" si="4"/>
        <v>0</v>
      </c>
      <c r="F43" s="31"/>
      <c r="J43" s="142"/>
      <c r="K43" s="142"/>
      <c r="L43" s="142"/>
      <c r="M43" s="142"/>
      <c r="N43" s="142"/>
    </row>
    <row r="44" spans="3:14" hidden="1">
      <c r="C44" s="30">
        <v>34</v>
      </c>
      <c r="E44" s="23">
        <f t="shared" si="4"/>
        <v>0</v>
      </c>
      <c r="F44" s="31"/>
      <c r="J44" s="142"/>
      <c r="K44" s="142"/>
      <c r="L44" s="142"/>
      <c r="M44" s="142"/>
      <c r="N44" s="142"/>
    </row>
    <row r="45" spans="3:14" hidden="1">
      <c r="C45" s="30">
        <v>35</v>
      </c>
      <c r="E45" s="23">
        <f t="shared" si="4"/>
        <v>0</v>
      </c>
      <c r="F45" s="31"/>
      <c r="J45" s="142"/>
      <c r="K45" s="142"/>
      <c r="L45" s="142"/>
      <c r="M45" s="142"/>
      <c r="N45" s="142"/>
    </row>
    <row r="46" spans="3:14" hidden="1">
      <c r="C46" s="30">
        <v>36</v>
      </c>
      <c r="E46" s="23">
        <f t="shared" si="4"/>
        <v>0</v>
      </c>
      <c r="F46" s="31"/>
      <c r="J46" s="142"/>
      <c r="K46" s="142"/>
      <c r="L46" s="142"/>
      <c r="M46" s="142"/>
      <c r="N46" s="142"/>
    </row>
    <row r="47" spans="3:14" hidden="1">
      <c r="C47" s="30">
        <v>37</v>
      </c>
      <c r="E47" s="23">
        <f t="shared" si="4"/>
        <v>0</v>
      </c>
      <c r="F47" s="31"/>
      <c r="J47" s="142"/>
      <c r="K47" s="142"/>
      <c r="L47" s="142"/>
      <c r="M47" s="142"/>
      <c r="N47" s="142"/>
    </row>
    <row r="48" spans="3:14" hidden="1">
      <c r="C48" s="30">
        <v>38</v>
      </c>
      <c r="E48" s="23">
        <f t="shared" si="4"/>
        <v>0</v>
      </c>
      <c r="F48" s="31"/>
      <c r="J48" s="142"/>
      <c r="K48" s="142"/>
      <c r="L48" s="142"/>
      <c r="M48" s="142"/>
      <c r="N48" s="142"/>
    </row>
    <row r="49" spans="3:14" hidden="1">
      <c r="C49" s="30">
        <v>39</v>
      </c>
      <c r="E49" s="23">
        <f t="shared" si="4"/>
        <v>0</v>
      </c>
      <c r="F49" s="31"/>
      <c r="J49" s="142"/>
      <c r="K49" s="142"/>
      <c r="L49" s="142"/>
      <c r="M49" s="142"/>
      <c r="N49" s="142"/>
    </row>
    <row r="50" spans="3:14" hidden="1">
      <c r="C50" s="30">
        <v>40</v>
      </c>
      <c r="E50" s="23">
        <f t="shared" si="4"/>
        <v>0</v>
      </c>
      <c r="F50" s="31"/>
      <c r="J50" s="142"/>
      <c r="K50" s="142"/>
      <c r="L50" s="142"/>
      <c r="M50" s="142"/>
      <c r="N50" s="142"/>
    </row>
    <row r="51" spans="3:14" hidden="1">
      <c r="C51" s="30">
        <v>41</v>
      </c>
      <c r="E51" s="23">
        <f t="shared" si="4"/>
        <v>0</v>
      </c>
      <c r="F51" s="31"/>
      <c r="J51" s="142"/>
      <c r="K51" s="142"/>
      <c r="L51" s="142"/>
      <c r="M51" s="142"/>
      <c r="N51" s="142"/>
    </row>
    <row r="52" spans="3:14" hidden="1">
      <c r="C52" s="30">
        <v>42</v>
      </c>
      <c r="E52" s="23">
        <f t="shared" si="4"/>
        <v>0</v>
      </c>
      <c r="F52" s="31"/>
      <c r="J52" s="142"/>
      <c r="K52" s="142"/>
      <c r="L52" s="142"/>
      <c r="M52" s="142"/>
      <c r="N52" s="142"/>
    </row>
    <row r="53" spans="3:14" hidden="1">
      <c r="C53" s="30">
        <v>43</v>
      </c>
      <c r="E53" s="23">
        <f t="shared" si="4"/>
        <v>0</v>
      </c>
      <c r="F53" s="31"/>
      <c r="J53" s="142"/>
      <c r="K53" s="142"/>
      <c r="L53" s="142"/>
      <c r="M53" s="142"/>
      <c r="N53" s="142"/>
    </row>
    <row r="54" spans="3:14" hidden="1">
      <c r="C54" s="30">
        <v>44</v>
      </c>
      <c r="E54" s="23">
        <f t="shared" si="4"/>
        <v>0</v>
      </c>
      <c r="F54" s="31"/>
      <c r="J54" s="142"/>
      <c r="K54" s="142"/>
      <c r="L54" s="142"/>
      <c r="M54" s="142"/>
      <c r="N54" s="142"/>
    </row>
    <row r="55" spans="3:14" hidden="1">
      <c r="C55" s="30">
        <v>45</v>
      </c>
      <c r="E55" s="23">
        <f t="shared" si="4"/>
        <v>0</v>
      </c>
      <c r="F55" s="31"/>
      <c r="J55" s="142"/>
      <c r="K55" s="142"/>
      <c r="L55" s="142"/>
      <c r="M55" s="142"/>
      <c r="N55" s="142"/>
    </row>
    <row r="56" spans="3:14" hidden="1">
      <c r="C56" s="30">
        <v>46</v>
      </c>
      <c r="E56" s="23">
        <f t="shared" si="4"/>
        <v>0</v>
      </c>
      <c r="F56" s="31"/>
      <c r="J56" s="142"/>
      <c r="K56" s="142"/>
      <c r="L56" s="142"/>
      <c r="M56" s="142"/>
      <c r="N56" s="142"/>
    </row>
    <row r="57" spans="3:14" hidden="1">
      <c r="C57" s="30">
        <v>47</v>
      </c>
      <c r="E57" s="23">
        <f t="shared" si="4"/>
        <v>0</v>
      </c>
      <c r="F57" s="31"/>
      <c r="J57" s="142"/>
      <c r="K57" s="142"/>
      <c r="L57" s="142"/>
      <c r="M57" s="142"/>
      <c r="N57" s="142"/>
    </row>
    <row r="58" spans="3:14" hidden="1">
      <c r="C58" s="32">
        <v>48</v>
      </c>
      <c r="E58" s="33">
        <f t="shared" si="4"/>
        <v>0</v>
      </c>
      <c r="F58" s="34"/>
      <c r="J58" s="142"/>
      <c r="K58" s="142"/>
      <c r="L58" s="142"/>
      <c r="M58" s="142"/>
      <c r="N58" s="142"/>
    </row>
    <row r="59" spans="3:14">
      <c r="C59" s="29" t="s">
        <v>5</v>
      </c>
      <c r="E59" s="28">
        <f>SUM(E11:E58)</f>
        <v>77999999.99999997</v>
      </c>
      <c r="F59" s="28"/>
      <c r="J59" s="142"/>
      <c r="K59" s="142"/>
      <c r="L59" s="142"/>
      <c r="M59" s="142"/>
      <c r="N59" s="142"/>
    </row>
    <row r="60" spans="3:14">
      <c r="J60" s="142"/>
      <c r="K60" s="142"/>
      <c r="L60" s="142"/>
      <c r="M60" s="142"/>
      <c r="N60" s="142"/>
    </row>
  </sheetData>
  <mergeCells count="1">
    <mergeCell ref="C2:I2"/>
  </mergeCells>
  <printOptions horizontalCentered="1"/>
  <pageMargins left="0.7" right="0.7" top="0.75" bottom="0.75" header="0.3" footer="0.3"/>
  <pageSetup scale="96" orientation="landscape" r:id="rId1"/>
  <headerFooter scaleWithDoc="0">
    <oddFooter xml:space="preserve">&amp;L&amp;"Arial,Regular"&amp;7Port Concession Evaluation Model&amp;R&amp;"Arial,Regular"&amp;7Copyright Public Financial Management, Inc.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I. Assumptions</vt:lpstr>
      <vt:lpstr>II. S&amp;U</vt:lpstr>
      <vt:lpstr>III. CF - Concessionaire</vt:lpstr>
      <vt:lpstr>IV. CF - Public Entity</vt:lpstr>
      <vt:lpstr>V. Debt Cvrg - Concessionaire</vt:lpstr>
      <vt:lpstr>VI. Debt Cvrg - Public Entity</vt:lpstr>
      <vt:lpstr>VII. Tax</vt:lpstr>
      <vt:lpstr>VIII. Depreciation</vt:lpstr>
      <vt:lpstr>Data Input</vt:lpstr>
      <vt:lpstr>'I. Assumptions'!Print_Area</vt:lpstr>
      <vt:lpstr>'II. S&amp;U'!Print_Area</vt:lpstr>
      <vt:lpstr>'III. CF - Concessionaire'!Print_Area</vt:lpstr>
      <vt:lpstr>Instructions!Print_Area</vt:lpstr>
      <vt:lpstr>'IV. CF - Public Entity'!Print_Area</vt:lpstr>
      <vt:lpstr>'V. Debt Cvrg - Concessionaire'!Print_Area</vt:lpstr>
      <vt:lpstr>'VI. Debt Cvrg - Public Entity'!Print_Area</vt:lpstr>
      <vt:lpstr>'VII. Tax'!Print_Area</vt:lpstr>
      <vt:lpstr>'VIII. Depreciation'!Print_Area</vt:lpstr>
    </vt:vector>
  </TitlesOfParts>
  <Company>Public Financial Management,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PFM</dc:creator>
  <cp:lastModifiedBy>Jean Godwin</cp:lastModifiedBy>
  <cp:lastPrinted>2014-10-29T02:18:21Z</cp:lastPrinted>
  <dcterms:created xsi:type="dcterms:W3CDTF">2003-04-07T16:42:39Z</dcterms:created>
  <dcterms:modified xsi:type="dcterms:W3CDTF">2014-10-29T13:29:23Z</dcterms:modified>
</cp:coreProperties>
</file>